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Otepää valla ÜVKA 2025-2037\Tellijale Otepää valla ÜVVK AK 2025-2037\Lisad\Lisa 3 Investeeringud\"/>
    </mc:Choice>
  </mc:AlternateContent>
  <xr:revisionPtr revIDLastSave="0" documentId="13_ncr:1_{B5738AA1-D3B3-4416-B375-88BE26ADE2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ftn1" localSheetId="0">Sheet1!#REF!</definedName>
    <definedName name="_ftnref1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9" i="1" l="1"/>
  <c r="M368" i="1"/>
  <c r="J364" i="1"/>
  <c r="K364" i="1" s="1"/>
  <c r="J362" i="1"/>
  <c r="L362" i="1" s="1"/>
  <c r="N362" i="1" s="1"/>
  <c r="J360" i="1"/>
  <c r="L360" i="1" s="1"/>
  <c r="N360" i="1" s="1"/>
  <c r="M364" i="1" l="1"/>
  <c r="K369" i="1"/>
  <c r="M369" i="1"/>
  <c r="J365" i="1"/>
  <c r="J367" i="1" s="1"/>
  <c r="L369" i="1"/>
  <c r="N369" i="1"/>
  <c r="J366" i="1" l="1"/>
  <c r="J368" i="1"/>
  <c r="J350" i="1" l="1"/>
  <c r="J351" i="1" s="1"/>
  <c r="J344" i="1"/>
  <c r="K344" i="1" s="1"/>
  <c r="J338" i="1"/>
  <c r="K338" i="1" s="1"/>
  <c r="M338" i="1" s="1"/>
  <c r="M342" i="1" s="1"/>
  <c r="J318" i="1"/>
  <c r="K318" i="1" s="1"/>
  <c r="J103" i="1"/>
  <c r="K103" i="1" s="1"/>
  <c r="J10" i="1"/>
  <c r="J11" i="1" s="1"/>
  <c r="J17" i="1"/>
  <c r="K17" i="1" s="1"/>
  <c r="M17" i="1" s="1"/>
  <c r="J16" i="1"/>
  <c r="K16" i="1" s="1"/>
  <c r="M16" i="1" s="1"/>
  <c r="L222" i="1"/>
  <c r="K222" i="1"/>
  <c r="K350" i="1" l="1"/>
  <c r="J352" i="1"/>
  <c r="J354" i="1" s="1"/>
  <c r="J353" i="1"/>
  <c r="M344" i="1"/>
  <c r="M348" i="1" s="1"/>
  <c r="K348" i="1"/>
  <c r="J345" i="1"/>
  <c r="J339" i="1"/>
  <c r="K342" i="1"/>
  <c r="M318" i="1"/>
  <c r="M322" i="1" s="1"/>
  <c r="M343" i="1" s="1"/>
  <c r="K322" i="1"/>
  <c r="J319" i="1"/>
  <c r="J104" i="1"/>
  <c r="J105" i="1"/>
  <c r="J106" i="1"/>
  <c r="M103" i="1"/>
  <c r="M107" i="1" s="1"/>
  <c r="M108" i="1" s="1"/>
  <c r="K107" i="1"/>
  <c r="K108" i="1" s="1"/>
  <c r="M21" i="1"/>
  <c r="K10" i="1"/>
  <c r="K14" i="1" s="1"/>
  <c r="J12" i="1"/>
  <c r="J13" i="1"/>
  <c r="J18" i="1"/>
  <c r="K21" i="1"/>
  <c r="K343" i="1" l="1"/>
  <c r="J347" i="1"/>
  <c r="J341" i="1"/>
  <c r="J107" i="1"/>
  <c r="J108" i="1" s="1"/>
  <c r="J20" i="1"/>
  <c r="J14" i="1"/>
  <c r="M350" i="1"/>
  <c r="M354" i="1" s="1"/>
  <c r="K354" i="1"/>
  <c r="J346" i="1"/>
  <c r="J348" i="1" s="1"/>
  <c r="J340" i="1"/>
  <c r="J321" i="1"/>
  <c r="J320" i="1"/>
  <c r="J322" i="1" s="1"/>
  <c r="M10" i="1"/>
  <c r="M14" i="1" s="1"/>
  <c r="J19" i="1"/>
  <c r="J342" i="1" l="1"/>
  <c r="J21" i="1"/>
  <c r="J39" i="1" l="1"/>
  <c r="J296" i="1"/>
  <c r="J244" i="1"/>
  <c r="J209" i="1"/>
  <c r="K209" i="1" s="1"/>
  <c r="J126" i="1"/>
  <c r="J95" i="1"/>
  <c r="J81" i="1"/>
  <c r="J310" i="1"/>
  <c r="L310" i="1" s="1"/>
  <c r="J274" i="1"/>
  <c r="J273" i="1"/>
  <c r="L273" i="1" s="1"/>
  <c r="J260" i="1"/>
  <c r="L260" i="1" s="1"/>
  <c r="J259" i="1"/>
  <c r="J216" i="1"/>
  <c r="L216" i="1" s="1"/>
  <c r="J215" i="1"/>
  <c r="L215" i="1" s="1"/>
  <c r="J203" i="1"/>
  <c r="J202" i="1"/>
  <c r="L202" i="1" s="1"/>
  <c r="J187" i="1"/>
  <c r="J186" i="1"/>
  <c r="L186" i="1" s="1"/>
  <c r="L187" i="1" l="1"/>
  <c r="N187" i="1" s="1"/>
  <c r="L259" i="1"/>
  <c r="N259" i="1" s="1"/>
  <c r="L203" i="1"/>
  <c r="N203" i="1" s="1"/>
  <c r="L274" i="1"/>
  <c r="L278" i="1" s="1"/>
  <c r="K39" i="1"/>
  <c r="M39" i="1" s="1"/>
  <c r="N310" i="1"/>
  <c r="N314" i="1" s="1"/>
  <c r="K310" i="1"/>
  <c r="J82" i="1"/>
  <c r="K81" i="1"/>
  <c r="J127" i="1"/>
  <c r="K126" i="1"/>
  <c r="K95" i="1"/>
  <c r="K99" i="1" s="1"/>
  <c r="J245" i="1"/>
  <c r="K244" i="1"/>
  <c r="K248" i="1" s="1"/>
  <c r="K256" i="1" s="1"/>
  <c r="J297" i="1"/>
  <c r="K296" i="1"/>
  <c r="M296" i="1" s="1"/>
  <c r="M300" i="1" s="1"/>
  <c r="J210" i="1"/>
  <c r="K213" i="1"/>
  <c r="M209" i="1"/>
  <c r="M213" i="1" s="1"/>
  <c r="J96" i="1"/>
  <c r="J311" i="1"/>
  <c r="N273" i="1"/>
  <c r="J275" i="1"/>
  <c r="J261" i="1"/>
  <c r="J217" i="1"/>
  <c r="N260" i="1"/>
  <c r="N202" i="1"/>
  <c r="N215" i="1"/>
  <c r="N216" i="1"/>
  <c r="J204" i="1"/>
  <c r="J188" i="1"/>
  <c r="N186" i="1"/>
  <c r="J298" i="1" l="1"/>
  <c r="J262" i="1"/>
  <c r="J246" i="1"/>
  <c r="J211" i="1"/>
  <c r="J189" i="1"/>
  <c r="J129" i="1"/>
  <c r="J97" i="1"/>
  <c r="J84" i="1"/>
  <c r="L207" i="1"/>
  <c r="L191" i="1"/>
  <c r="N274" i="1"/>
  <c r="N278" i="1" s="1"/>
  <c r="N207" i="1"/>
  <c r="J299" i="1"/>
  <c r="N191" i="1"/>
  <c r="N264" i="1"/>
  <c r="J83" i="1"/>
  <c r="J128" i="1"/>
  <c r="J247" i="1"/>
  <c r="M95" i="1"/>
  <c r="M99" i="1" s="1"/>
  <c r="L314" i="1"/>
  <c r="J212" i="1"/>
  <c r="K300" i="1"/>
  <c r="M244" i="1"/>
  <c r="M248" i="1" s="1"/>
  <c r="M256" i="1" s="1"/>
  <c r="K130" i="1"/>
  <c r="M126" i="1"/>
  <c r="M130" i="1" s="1"/>
  <c r="J98" i="1"/>
  <c r="K85" i="1"/>
  <c r="K86" i="1" s="1"/>
  <c r="M81" i="1"/>
  <c r="M85" i="1" s="1"/>
  <c r="M86" i="1" s="1"/>
  <c r="J312" i="1"/>
  <c r="J313" i="1"/>
  <c r="K314" i="1"/>
  <c r="M310" i="1"/>
  <c r="M314" i="1" s="1"/>
  <c r="M315" i="1" s="1"/>
  <c r="J277" i="1"/>
  <c r="J276" i="1"/>
  <c r="J218" i="1"/>
  <c r="J219" i="1"/>
  <c r="J263" i="1"/>
  <c r="L264" i="1"/>
  <c r="L220" i="1"/>
  <c r="N220" i="1"/>
  <c r="J205" i="1"/>
  <c r="J206" i="1"/>
  <c r="J190" i="1"/>
  <c r="J314" i="1" l="1"/>
  <c r="J300" i="1"/>
  <c r="J278" i="1"/>
  <c r="J264" i="1"/>
  <c r="J248" i="1"/>
  <c r="J220" i="1"/>
  <c r="J213" i="1"/>
  <c r="J207" i="1"/>
  <c r="J191" i="1"/>
  <c r="J130" i="1"/>
  <c r="J99" i="1"/>
  <c r="J85" i="1"/>
  <c r="J86" i="1" s="1"/>
  <c r="K315" i="1"/>
  <c r="J173" i="1" l="1"/>
  <c r="J172" i="1"/>
  <c r="L172" i="1" s="1"/>
  <c r="J150" i="1"/>
  <c r="L150" i="1" s="1"/>
  <c r="L173" i="1" l="1"/>
  <c r="N173" i="1" s="1"/>
  <c r="N172" i="1"/>
  <c r="J174" i="1"/>
  <c r="N150" i="1"/>
  <c r="N154" i="1" s="1"/>
  <c r="L154" i="1"/>
  <c r="J151" i="1"/>
  <c r="J332" i="1"/>
  <c r="J331" i="1"/>
  <c r="L331" i="1" s="1"/>
  <c r="J325" i="1"/>
  <c r="J324" i="1"/>
  <c r="L324" i="1" s="1"/>
  <c r="J303" i="1"/>
  <c r="L303" i="1" s="1"/>
  <c r="J302" i="1"/>
  <c r="L302" i="1" s="1"/>
  <c r="J267" i="1"/>
  <c r="J266" i="1"/>
  <c r="L266" i="1" s="1"/>
  <c r="J238" i="1"/>
  <c r="J237" i="1"/>
  <c r="L237" i="1" s="1"/>
  <c r="J251" i="1"/>
  <c r="J250" i="1"/>
  <c r="L250" i="1" s="1"/>
  <c r="J231" i="1"/>
  <c r="J230" i="1"/>
  <c r="L230" i="1" s="1"/>
  <c r="J196" i="1"/>
  <c r="L177" i="1" l="1"/>
  <c r="L231" i="1"/>
  <c r="N231" i="1" s="1"/>
  <c r="L238" i="1"/>
  <c r="N238" i="1" s="1"/>
  <c r="L267" i="1"/>
  <c r="L271" i="1" s="1"/>
  <c r="L325" i="1"/>
  <c r="L329" i="1" s="1"/>
  <c r="N177" i="1"/>
  <c r="L332" i="1"/>
  <c r="L336" i="1" s="1"/>
  <c r="L343" i="1" s="1"/>
  <c r="L251" i="1"/>
  <c r="N251" i="1" s="1"/>
  <c r="N303" i="1"/>
  <c r="J197" i="1"/>
  <c r="K196" i="1"/>
  <c r="M196" i="1" s="1"/>
  <c r="M200" i="1" s="1"/>
  <c r="J176" i="1"/>
  <c r="J175" i="1"/>
  <c r="J153" i="1"/>
  <c r="J152" i="1"/>
  <c r="N324" i="1"/>
  <c r="N331" i="1"/>
  <c r="J333" i="1"/>
  <c r="J326" i="1"/>
  <c r="N302" i="1"/>
  <c r="J304" i="1"/>
  <c r="J268" i="1"/>
  <c r="N237" i="1"/>
  <c r="J239" i="1"/>
  <c r="J232" i="1"/>
  <c r="N250" i="1"/>
  <c r="N230" i="1"/>
  <c r="J252" i="1"/>
  <c r="J223" i="1"/>
  <c r="L226" i="1"/>
  <c r="L227" i="1" s="1"/>
  <c r="N222" i="1"/>
  <c r="N226" i="1" s="1"/>
  <c r="N227" i="1" s="1"/>
  <c r="J305" i="1" l="1"/>
  <c r="J269" i="1"/>
  <c r="J177" i="1"/>
  <c r="J233" i="1"/>
  <c r="J225" i="1"/>
  <c r="J198" i="1"/>
  <c r="J154" i="1"/>
  <c r="L235" i="1"/>
  <c r="L242" i="1"/>
  <c r="N332" i="1"/>
  <c r="N336" i="1" s="1"/>
  <c r="L255" i="1"/>
  <c r="N242" i="1"/>
  <c r="N235" i="1"/>
  <c r="L308" i="1"/>
  <c r="L315" i="1" s="1"/>
  <c r="N325" i="1"/>
  <c r="N329" i="1" s="1"/>
  <c r="N255" i="1"/>
  <c r="N267" i="1"/>
  <c r="N308" i="1"/>
  <c r="N315" i="1" s="1"/>
  <c r="J199" i="1"/>
  <c r="J328" i="1"/>
  <c r="J327" i="1"/>
  <c r="J329" i="1" s="1"/>
  <c r="J335" i="1"/>
  <c r="J334" i="1"/>
  <c r="J307" i="1"/>
  <c r="J306" i="1"/>
  <c r="J270" i="1"/>
  <c r="N266" i="1"/>
  <c r="J241" i="1"/>
  <c r="J240" i="1"/>
  <c r="J224" i="1"/>
  <c r="J234" i="1"/>
  <c r="J253" i="1"/>
  <c r="J254" i="1"/>
  <c r="K200" i="1"/>
  <c r="K226" i="1"/>
  <c r="M222" i="1"/>
  <c r="M226" i="1" s="1"/>
  <c r="M227" i="1" s="1"/>
  <c r="N343" i="1" l="1"/>
  <c r="J336" i="1"/>
  <c r="J308" i="1"/>
  <c r="J315" i="1" s="1"/>
  <c r="J242" i="1"/>
  <c r="J271" i="1"/>
  <c r="J255" i="1"/>
  <c r="J226" i="1"/>
  <c r="J235" i="1"/>
  <c r="J200" i="1"/>
  <c r="N271" i="1"/>
  <c r="L256" i="1"/>
  <c r="N256" i="1"/>
  <c r="K227" i="1"/>
  <c r="J227" i="1" l="1"/>
  <c r="J343" i="1"/>
  <c r="J256" i="1"/>
  <c r="J180" i="1" l="1"/>
  <c r="L180" i="1" s="1"/>
  <c r="J179" i="1"/>
  <c r="L179" i="1" s="1"/>
  <c r="J166" i="1"/>
  <c r="J165" i="1"/>
  <c r="L165" i="1" s="1"/>
  <c r="J58" i="1"/>
  <c r="L58" i="1" s="1"/>
  <c r="L166" i="1" l="1"/>
  <c r="N166" i="1" s="1"/>
  <c r="L184" i="1"/>
  <c r="J181" i="1"/>
  <c r="J167" i="1"/>
  <c r="N179" i="1"/>
  <c r="J182" i="1" l="1"/>
  <c r="N180" i="1"/>
  <c r="J183" i="1"/>
  <c r="J169" i="1"/>
  <c r="J168" i="1"/>
  <c r="J170" i="1" s="1"/>
  <c r="L170" i="1"/>
  <c r="L192" i="1" s="1"/>
  <c r="N165" i="1"/>
  <c r="N170" i="1" s="1"/>
  <c r="J184" i="1" l="1"/>
  <c r="J192" i="1" s="1"/>
  <c r="N184" i="1"/>
  <c r="N192" i="1" s="1"/>
  <c r="J142" i="1" l="1"/>
  <c r="L142" i="1" l="1"/>
  <c r="N142" i="1" s="1"/>
  <c r="J64" i="1"/>
  <c r="J38" i="1"/>
  <c r="K38" i="1" s="1"/>
  <c r="J29" i="1"/>
  <c r="J30" i="1" l="1"/>
  <c r="K29" i="1"/>
  <c r="M29" i="1" s="1"/>
  <c r="M33" i="1" s="1"/>
  <c r="K64" i="1"/>
  <c r="M64" i="1" s="1"/>
  <c r="M68" i="1" s="1"/>
  <c r="M69" i="1" s="1"/>
  <c r="M38" i="1"/>
  <c r="J40" i="1"/>
  <c r="J65" i="1"/>
  <c r="J42" i="1" l="1"/>
  <c r="J31" i="1"/>
  <c r="K68" i="1"/>
  <c r="K69" i="1" s="1"/>
  <c r="J32" i="1"/>
  <c r="K43" i="1"/>
  <c r="K44" i="1" s="1"/>
  <c r="J67" i="1"/>
  <c r="J66" i="1"/>
  <c r="J41" i="1"/>
  <c r="M43" i="1"/>
  <c r="M44" i="1" s="1"/>
  <c r="K33" i="1"/>
  <c r="J43" i="1" l="1"/>
  <c r="J44" i="1" s="1"/>
  <c r="J33" i="1"/>
  <c r="J68" i="1"/>
  <c r="J113" i="1" l="1"/>
  <c r="K113" i="1" s="1"/>
  <c r="J120" i="1"/>
  <c r="J89" i="1"/>
  <c r="K89" i="1" s="1"/>
  <c r="J73" i="1"/>
  <c r="J72" i="1"/>
  <c r="L72" i="1" s="1"/>
  <c r="L73" i="1" l="1"/>
  <c r="N73" i="1" s="1"/>
  <c r="L120" i="1"/>
  <c r="L124" i="1" s="1"/>
  <c r="M89" i="1"/>
  <c r="M93" i="1" s="1"/>
  <c r="M100" i="1" s="1"/>
  <c r="K93" i="1"/>
  <c r="K100" i="1" s="1"/>
  <c r="M113" i="1"/>
  <c r="M117" i="1" s="1"/>
  <c r="K117" i="1"/>
  <c r="J121" i="1"/>
  <c r="J90" i="1"/>
  <c r="J74" i="1"/>
  <c r="N72" i="1"/>
  <c r="J122" i="1" l="1"/>
  <c r="J75" i="1"/>
  <c r="L77" i="1"/>
  <c r="L78" i="1" s="1"/>
  <c r="N77" i="1"/>
  <c r="N78" i="1" s="1"/>
  <c r="N120" i="1"/>
  <c r="N124" i="1" s="1"/>
  <c r="J123" i="1"/>
  <c r="J91" i="1"/>
  <c r="J92" i="1"/>
  <c r="J76" i="1"/>
  <c r="J124" i="1" l="1"/>
  <c r="J93" i="1"/>
  <c r="J100" i="1" s="1"/>
  <c r="J77" i="1"/>
  <c r="J78" i="1" s="1"/>
  <c r="N58" i="1" l="1"/>
  <c r="J57" i="1"/>
  <c r="L57" i="1" s="1"/>
  <c r="C49" i="1"/>
  <c r="N57" i="1" l="1"/>
  <c r="N62" i="1" s="1"/>
  <c r="N69" i="1" s="1"/>
  <c r="L62" i="1"/>
  <c r="L69" i="1" s="1"/>
  <c r="J59" i="1"/>
  <c r="J61" i="1" l="1"/>
  <c r="J60" i="1"/>
  <c r="J62" i="1" l="1"/>
  <c r="J69" i="1" s="1"/>
  <c r="J287" i="1"/>
  <c r="J281" i="1"/>
  <c r="J280" i="1"/>
  <c r="L281" i="1" l="1"/>
  <c r="N281" i="1" s="1"/>
  <c r="L280" i="1"/>
  <c r="L287" i="1"/>
  <c r="L292" i="1" s="1"/>
  <c r="K287" i="1"/>
  <c r="K292" i="1" s="1"/>
  <c r="K293" i="1" s="1"/>
  <c r="J282" i="1"/>
  <c r="J288" i="1"/>
  <c r="N287" i="1" l="1"/>
  <c r="N292" i="1" s="1"/>
  <c r="L285" i="1"/>
  <c r="L293" i="1" s="1"/>
  <c r="M287" i="1"/>
  <c r="M292" i="1" s="1"/>
  <c r="M293" i="1" s="1"/>
  <c r="N280" i="1"/>
  <c r="N285" i="1" s="1"/>
  <c r="J291" i="1"/>
  <c r="J290" i="1"/>
  <c r="J289" i="1"/>
  <c r="N293" i="1" l="1"/>
  <c r="J292" i="1"/>
  <c r="J156" i="1" l="1"/>
  <c r="L156" i="1" s="1"/>
  <c r="N156" i="1" s="1"/>
  <c r="J134" i="1"/>
  <c r="J132" i="1"/>
  <c r="L132" i="1" s="1"/>
  <c r="J141" i="1"/>
  <c r="J140" i="1"/>
  <c r="L140" i="1" s="1"/>
  <c r="J48" i="1"/>
  <c r="J23" i="1"/>
  <c r="L134" i="1" l="1"/>
  <c r="N134" i="1" s="1"/>
  <c r="L48" i="1"/>
  <c r="N48" i="1" s="1"/>
  <c r="L23" i="1"/>
  <c r="L27" i="1" s="1"/>
  <c r="K23" i="1"/>
  <c r="K141" i="1"/>
  <c r="M141" i="1" s="1"/>
  <c r="M146" i="1" s="1"/>
  <c r="M147" i="1" s="1"/>
  <c r="J143" i="1"/>
  <c r="J135" i="1"/>
  <c r="J114" i="1"/>
  <c r="K156" i="1"/>
  <c r="M156" i="1" s="1"/>
  <c r="L34" i="1" l="1"/>
  <c r="L45" i="1" s="1"/>
  <c r="L138" i="1"/>
  <c r="K146" i="1"/>
  <c r="N140" i="1"/>
  <c r="N146" i="1" s="1"/>
  <c r="L146" i="1"/>
  <c r="J136" i="1"/>
  <c r="J137" i="1"/>
  <c r="N132" i="1"/>
  <c r="N138" i="1" s="1"/>
  <c r="J115" i="1"/>
  <c r="J116" i="1"/>
  <c r="M23" i="1"/>
  <c r="M27" i="1" s="1"/>
  <c r="M34" i="1" s="1"/>
  <c r="K27" i="1"/>
  <c r="N23" i="1"/>
  <c r="J138" i="1" l="1"/>
  <c r="J117" i="1"/>
  <c r="L147" i="1"/>
  <c r="K34" i="1"/>
  <c r="K147" i="1"/>
  <c r="N147" i="1"/>
  <c r="M45" i="1"/>
  <c r="M109" i="1" s="1"/>
  <c r="K45" i="1" l="1"/>
  <c r="K109" i="1" s="1"/>
  <c r="K161" i="1"/>
  <c r="C132" i="1"/>
  <c r="K162" i="1" l="1"/>
  <c r="K355" i="1" s="1"/>
  <c r="J157" i="1"/>
  <c r="J159" i="1" s="1"/>
  <c r="L161" i="1"/>
  <c r="M161" i="1"/>
  <c r="M162" i="1" s="1"/>
  <c r="M355" i="1" s="1"/>
  <c r="M356" i="1" l="1"/>
  <c r="L162" i="1"/>
  <c r="L355" i="1" s="1"/>
  <c r="J158" i="1"/>
  <c r="J160" i="1"/>
  <c r="J144" i="1"/>
  <c r="J145" i="1"/>
  <c r="J146" i="1" l="1"/>
  <c r="J147" i="1" s="1"/>
  <c r="K356" i="1"/>
  <c r="J284" i="1"/>
  <c r="J283" i="1"/>
  <c r="J161" i="1"/>
  <c r="J162" i="1" s="1"/>
  <c r="N161" i="1"/>
  <c r="J285" i="1" l="1"/>
  <c r="J293" i="1" s="1"/>
  <c r="J355" i="1" s="1"/>
  <c r="N162" i="1"/>
  <c r="N355" i="1" s="1"/>
  <c r="J49" i="1"/>
  <c r="L49" i="1" s="1"/>
  <c r="N49" i="1" l="1"/>
  <c r="N53" i="1" s="1"/>
  <c r="L53" i="1"/>
  <c r="J50" i="1"/>
  <c r="J52" i="1" l="1"/>
  <c r="N54" i="1"/>
  <c r="L54" i="1"/>
  <c r="L109" i="1" s="1"/>
  <c r="L356" i="1" s="1"/>
  <c r="J51" i="1"/>
  <c r="J53" i="1" l="1"/>
  <c r="J54" i="1" s="1"/>
  <c r="N27" i="1" l="1"/>
  <c r="J24" i="1"/>
  <c r="N34" i="1" l="1"/>
  <c r="N45" i="1" s="1"/>
  <c r="N109" i="1" s="1"/>
  <c r="N356" i="1" s="1"/>
  <c r="J26" i="1"/>
  <c r="J25" i="1"/>
  <c r="J27" i="1" l="1"/>
  <c r="J34" i="1" s="1"/>
  <c r="J45" i="1" l="1"/>
  <c r="J109" i="1" s="1"/>
  <c r="J356" i="1" s="1"/>
  <c r="G6" i="2"/>
  <c r="I6" i="2" s="1"/>
  <c r="H5" i="2"/>
  <c r="H7" i="2" s="1"/>
  <c r="G5" i="2"/>
  <c r="G4" i="2"/>
  <c r="I4" i="2" s="1"/>
  <c r="G3" i="2"/>
  <c r="I3" i="2" s="1"/>
  <c r="A3" i="2"/>
  <c r="A4" i="2" s="1"/>
  <c r="A5" i="2" s="1"/>
  <c r="A6" i="2" s="1"/>
  <c r="G7" i="2" l="1"/>
  <c r="I7" i="2"/>
  <c r="L25" i="3" l="1"/>
  <c r="G43" i="3"/>
  <c r="G32" i="3"/>
  <c r="G26" i="3"/>
  <c r="M41" i="3"/>
  <c r="M42" i="3" s="1"/>
  <c r="M22" i="3"/>
  <c r="M24" i="3"/>
  <c r="M23" i="3"/>
  <c r="H40" i="3"/>
  <c r="H41" i="3"/>
  <c r="H42" i="3"/>
  <c r="H39" i="3"/>
  <c r="K12" i="3"/>
  <c r="M12" i="3" s="1"/>
  <c r="F13" i="3"/>
  <c r="H13" i="3" s="1"/>
  <c r="H14" i="3" s="1"/>
  <c r="F25" i="3"/>
  <c r="H25" i="3" s="1"/>
  <c r="F24" i="3"/>
  <c r="F30" i="3" s="1"/>
  <c r="H30" i="3" s="1"/>
  <c r="F23" i="3"/>
  <c r="F29" i="3" s="1"/>
  <c r="H29" i="3" s="1"/>
  <c r="K10" i="3"/>
  <c r="M10" i="3" s="1"/>
  <c r="K9" i="3"/>
  <c r="F9" i="3"/>
  <c r="H9" i="3" s="1"/>
  <c r="F10" i="3"/>
  <c r="H10" i="3" s="1"/>
  <c r="F11" i="3"/>
  <c r="H11" i="3" s="1"/>
  <c r="C22" i="3"/>
  <c r="F22" i="3" s="1"/>
  <c r="F28" i="3" s="1"/>
  <c r="C8" i="3"/>
  <c r="F8" i="3" s="1"/>
  <c r="M25" i="3" l="1"/>
  <c r="H24" i="3"/>
  <c r="H43" i="3"/>
  <c r="H12" i="3"/>
  <c r="H15" i="3" s="1"/>
  <c r="F31" i="3"/>
  <c r="H31" i="3" s="1"/>
  <c r="H32" i="3" s="1"/>
  <c r="H23" i="3"/>
  <c r="H26" i="3" l="1"/>
</calcChain>
</file>

<file path=xl/sharedStrings.xml><?xml version="1.0" encoding="utf-8"?>
<sst xmlns="http://schemas.openxmlformats.org/spreadsheetml/2006/main" count="576" uniqueCount="307">
  <si>
    <t>Jrk. nr.</t>
  </si>
  <si>
    <t>Ühik</t>
  </si>
  <si>
    <t>Kogus</t>
  </si>
  <si>
    <t>tk</t>
  </si>
  <si>
    <t>m</t>
  </si>
  <si>
    <t>töö</t>
  </si>
  <si>
    <t>Kokku</t>
  </si>
  <si>
    <t>I etapp</t>
  </si>
  <si>
    <t>de32</t>
  </si>
  <si>
    <t xml:space="preserve">ühikmaksu-mus, eur/m </t>
  </si>
  <si>
    <t>Maht, m</t>
  </si>
  <si>
    <t>de50</t>
  </si>
  <si>
    <t>de63</t>
  </si>
  <si>
    <t>de110</t>
  </si>
  <si>
    <t>Makusmus, eur</t>
  </si>
  <si>
    <t>de160</t>
  </si>
  <si>
    <t>de200</t>
  </si>
  <si>
    <t>Projektijuh-timine/omaniku-järelevalve, 10%</t>
  </si>
  <si>
    <t>Projekteerimine, 5%</t>
  </si>
  <si>
    <t>Ettenägematud kulud/hinna-kõikumised, 5%</t>
  </si>
  <si>
    <t>II etapp</t>
  </si>
  <si>
    <t>Ettenägematud kulud/hinna-kõikumised, 10%</t>
  </si>
  <si>
    <t>de110 ehit</t>
  </si>
  <si>
    <t>de110 rek</t>
  </si>
  <si>
    <t>Kõik kokku</t>
  </si>
  <si>
    <t>de200 eh</t>
  </si>
  <si>
    <t>de200 rek</t>
  </si>
  <si>
    <t>Koos kanaliga</t>
  </si>
  <si>
    <t>Kanalisatsioonivõrgu rek ja ehitamine</t>
  </si>
  <si>
    <t>kokku</t>
  </si>
  <si>
    <t>Veevõrgu rek ja ehitamine</t>
  </si>
  <si>
    <t>Projekt</t>
  </si>
  <si>
    <t>kmpl ja töö</t>
  </si>
  <si>
    <t>Investeeringuprojektide maksumused ja realiseerimine, eurot (ilma käibemaksuta)</t>
  </si>
  <si>
    <t>Arendus-/investeeringuprojekt (kõik antud koos paigaldusega)</t>
  </si>
  <si>
    <t xml:space="preserve">Uhtevee äravoolutorustiku rajamine, isevoolne torustik L=55 m
Materjal: PVC SN 8 de160
</t>
  </si>
  <si>
    <r>
      <t>Settemahuti rajamine uhtevee kogumiseks ja eeltöötluseks, 10 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</si>
  <si>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 xml:space="preserve">Uhtevee äravoolutorustiku rajamine, survetorustik, PE, De63mm PN6 L=220 m
(suundpuurimisega)
</t>
  </si>
  <si>
    <t>Uhteveepumpla rajamine 2 pumpa, kompaktne plastmahuti PE või klaasplast, D=1400mm</t>
  </si>
  <si>
    <t>Amortisatsiooni aeg</t>
  </si>
  <si>
    <t>15 a</t>
  </si>
  <si>
    <t>40 a</t>
  </si>
  <si>
    <t>ettenägematud kulud, 5%</t>
  </si>
  <si>
    <t>Ehitusuuringud ja projekteerimine 10%</t>
  </si>
  <si>
    <t>Amort aeg (ümard)</t>
  </si>
  <si>
    <t>kulum aastas</t>
  </si>
  <si>
    <t>15 a.</t>
  </si>
  <si>
    <t>40 a.</t>
  </si>
  <si>
    <t>Kulum 15 a 6,67%</t>
  </si>
  <si>
    <t>Kulum40 a. 2,5%</t>
  </si>
  <si>
    <t>B2</t>
  </si>
  <si>
    <t>Projektijuhtimine-omanikujärelevalve kulu 5%</t>
  </si>
  <si>
    <t>Muud kulud, sealhulgas liitumispunktide rajamine (ligikaudne arv)</t>
  </si>
  <si>
    <t>A2</t>
  </si>
  <si>
    <t>Muud kulud, sealhulgas liitumispunktide rekonstrueerimine (ligikaudne arv)</t>
  </si>
  <si>
    <t>kmpl</t>
  </si>
  <si>
    <t>C2</t>
  </si>
  <si>
    <t>B1</t>
  </si>
  <si>
    <t>Lühiajaline programm 2025-2029</t>
  </si>
  <si>
    <t>Ühik- või kogumaksumus kokku 2025. a hindades, eurot</t>
  </si>
  <si>
    <t>C1</t>
  </si>
  <si>
    <t>Pikaajaline programm 2030-2037</t>
  </si>
  <si>
    <t>Isevoolse kanalisatsioonitorustiku rajamine de160 järgnevalt loetletud piirkondades:</t>
  </si>
  <si>
    <t>Reoveepumpla rajamine ~ 5 l/s</t>
  </si>
  <si>
    <t>Muud kulud, sealhulgas liitumispunktide rekonstrueeriminemine (ligikaudne arv)</t>
  </si>
  <si>
    <t>töö/ma-terjal</t>
  </si>
  <si>
    <t>Otepää valla ÜVK lühiajalised investeeringud kokku</t>
  </si>
  <si>
    <t>Otepää valla ÜVK pikaajalised investeeringud kokku</t>
  </si>
  <si>
    <t>Otepää  valla ÜVK lühi- ja pikaajalised investeeringud kokku</t>
  </si>
  <si>
    <t>OTEPÄÄ VALLA ÜHISVEEVÄRGI JA -KANALISATSIOONI INVESTEERINGUTE MAHUD 2025-2037</t>
  </si>
  <si>
    <t>Perspektiivne reoveekogumisala 144,7 ha (väheneb, sest Aedlinna elamupiirkonda taotletakse uut eraldi reoveekogumisala)</t>
  </si>
  <si>
    <t>Otepää linn (põhipiirkond)</t>
  </si>
  <si>
    <t>Otepää linna reoveepuhasti rekonstrueerimine lühiajalises programmis</t>
  </si>
  <si>
    <t>töö ja kmpl</t>
  </si>
  <si>
    <t>Otepää linna reoveepuhasti rekonstrueerimine lühiajalises programmis kokku</t>
  </si>
  <si>
    <t>Otepää linna (põhipiirkonna) lühiajalised investeeringud kokku</t>
  </si>
  <si>
    <t>Otepää (Kastolatsi) põhireoveepuhasti täisrekonstrueerimine, sealhulgas osaliselt olemasolevate mahutite ümberehitamine annuspuhastiks (SBR, sequencing batch reactor), kõigi torustike ja seadmete väljavahetamine (kirjeldus seletuskirja tekstis)</t>
  </si>
  <si>
    <t>Perspektiivne reoveekogumisala 17,1 ha</t>
  </si>
  <si>
    <t>Otepää Aedlinna lühiajalised investeeringud kokku</t>
  </si>
  <si>
    <t>Otepää linna lühiajalised investeeringud kokku</t>
  </si>
  <si>
    <t>Pühajärve küla</t>
  </si>
  <si>
    <r>
      <t>Tuletõrjeveemahuti paigaldamine (108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) koos kuivhüdrandiga</t>
    </r>
  </si>
  <si>
    <t>Pühajärve küla tuletõrjeveevõtukoha rajamine lühiajalises programmis kokku</t>
  </si>
  <si>
    <t>Pühajärve küla ühiskanalisatsioonitorustiku rekonstrueerimine lühiajalises programmis</t>
  </si>
  <si>
    <t>Isevoolse kanalisatsiooni rekonstrueerimine de160…200 PVC SN8</t>
  </si>
  <si>
    <t>Pühajärve küla lühiajalised investeeringud kokku</t>
  </si>
  <si>
    <t>Puka alevik</t>
  </si>
  <si>
    <t>Projektijuhtimine-omaniku järelvalve kulu 5%</t>
  </si>
  <si>
    <t xml:space="preserve">Puka veetorustiku rajamine </t>
  </si>
  <si>
    <t>Veetoru de63 rajamine</t>
  </si>
  <si>
    <t>Puka veetorustiku rajamine, investeering kokku</t>
  </si>
  <si>
    <t xml:space="preserve">Muud kulud, sealhulgas liitumispunktide rekonstrueerimine </t>
  </si>
  <si>
    <t>Veevõrgu rekonstrueerimise investeeringud kokku</t>
  </si>
  <si>
    <t>D1-1</t>
  </si>
  <si>
    <t>Isevoolse torustiku rekonstrueerimine PVC de160-200 SN8</t>
  </si>
  <si>
    <t>Puka isevoolse kanalisatsioonivõrgu rekonstrueerimise investeeringud kokku</t>
  </si>
  <si>
    <t>Sangaste alevik</t>
  </si>
  <si>
    <t>Sangaste veevõrgu rekonstrueerimine</t>
  </si>
  <si>
    <t>E2</t>
  </si>
  <si>
    <t xml:space="preserve">Veetoru de63-90 PE rekonstrueerimine, </t>
  </si>
  <si>
    <t>Puka aleviku lühiajalised investeeringud kokku</t>
  </si>
  <si>
    <t>Sangaste aleviku lühiajalised investeeringud kokku</t>
  </si>
  <si>
    <t>Keeni küla</t>
  </si>
  <si>
    <t>Sangaste isevoolse kanalisatsioonivõrgu rekonstrueerimise investeeringud kokku</t>
  </si>
  <si>
    <t>Keeni küla lühiajalised investeeringud kokku</t>
  </si>
  <si>
    <t>Sihva küla</t>
  </si>
  <si>
    <t>Sihva kanalisatsiooni survetorustiku rajamine kokku</t>
  </si>
  <si>
    <t xml:space="preserve">Veetoru de63 PE rekonstrueerimine, </t>
  </si>
  <si>
    <t>Reoveepumpla rajamine Q=5-10 l/s</t>
  </si>
  <si>
    <t>Nõuni küla</t>
  </si>
  <si>
    <t>H1</t>
  </si>
  <si>
    <t>A3</t>
  </si>
  <si>
    <t xml:space="preserve">Veetöötlusjaama ja pumpla rekonstrueerimine, sealhulgas: </t>
  </si>
  <si>
    <t>Kõigi aeratsiooni- ja filterpaakide vahetus ja asendus; elektri-automaatikaseadmete täielik väljavahetamine; pumplatorustiku asendamine; toorvee- ja puhtaveemahutite pesu ja desinfitseerimine, veepidavuskontroll</t>
  </si>
  <si>
    <t>Otepää Mäe veehaarde ja veetöötluskompleksi rekonstrueerimine</t>
  </si>
  <si>
    <t>Otepää Mäe veehaarde ja veetöötluskompleksi rekonstrueerimine kokku</t>
  </si>
  <si>
    <t>Otepää Aedlinn sh Pühajärve küla Otepää linnaga vahetult külgnev ala</t>
  </si>
  <si>
    <t>Otepää-Kääriku-Kurevere tee</t>
  </si>
  <si>
    <t>Otepää Aedlinna (Pühajärve) veetorustiku rajamine pikaajalises programmis</t>
  </si>
  <si>
    <t>Otepää Aedlinna (Pühajärve) veetorustiku rekonstrueerimine pikaajalises programmis</t>
  </si>
  <si>
    <t xml:space="preserve">Veetorustiku rajamine PE PN10 de110 järgmistes piirkondades:  </t>
  </si>
  <si>
    <t>Metskond-Paju tee</t>
  </si>
  <si>
    <t>Otepää Aedlinna (Pühajärve) veetorustiku rekonstrueerimine pikaajalises programmis kokku</t>
  </si>
  <si>
    <t>Otepää Aedlinna (Pühajärve) veetorustiku rajamine pikaajalises programmis kokku</t>
  </si>
  <si>
    <t>Otepää Aedlinna (Pühajärve) isevoolse kanalisatsioonitorustiku rajamine pikaajalises programmis kokku</t>
  </si>
  <si>
    <t>kanalisatsiooni survetorustiku rajamine de90 PP Sn8</t>
  </si>
  <si>
    <t>Otepää Aedlinna isevoolse kanalisatsioonitorustiku rajamine pikaajalises programmis</t>
  </si>
  <si>
    <t>Tuletõrjehüdrantide rajamine</t>
  </si>
  <si>
    <t>Otepää linna veevõrgu pesuotsikute rajamine lühiajalises programmis peatorustikele</t>
  </si>
  <si>
    <t>Otepää linna veevõrgu pesuotsikute paigaldamine lühiajalises programmis kokku</t>
  </si>
  <si>
    <t>Otepää linna veevõrgu pesuotsikute paigaldamine lühiajalises programmis</t>
  </si>
  <si>
    <t>Otepää Aedlinna veevõrgu hüdrantide ja pesuotsikute paigaldamine lühiajalises programmis kokku</t>
  </si>
  <si>
    <t xml:space="preserve">Otepää Aedlinna veevõrgu peatorustikele lisahüdrantide paigaldamine </t>
  </si>
  <si>
    <t>Puka veevõrgu pesuotsikute rajamine lühiajalises programmis peatorustikele</t>
  </si>
  <si>
    <t>Puka veevõrgu pesuotsikute paigaldamine lühiajalises programmis</t>
  </si>
  <si>
    <t>Puka veevõrgu pesuotsikute paigaldamine lühiajalises programmis kokku</t>
  </si>
  <si>
    <t>E3</t>
  </si>
  <si>
    <t>Sangaste veevõrgu pesuotsikute paigaldamine lühiajalises programmis kokku</t>
  </si>
  <si>
    <t>Keeni veevõrgu pesuotsikute paigaldamine lühiajalises programmis kokku</t>
  </si>
  <si>
    <t>F3</t>
  </si>
  <si>
    <t>Otepää Aedlinna kanalisatsiooni survetorustiku rajamine ja rekonstrueerimine pikaajalises programmis</t>
  </si>
  <si>
    <t>kanalisatsiooni survetorustiku rekonstrueerimine de90 PP Sn8</t>
  </si>
  <si>
    <t>Otepää Aedlinna kanalisatsiooni survetorustiku rajamine ja rekonstrueerimine pikaajalises programmis kokku</t>
  </si>
  <si>
    <t>Otepää Aedlinna pikaajalised investeeringud kokku</t>
  </si>
  <si>
    <t>B3</t>
  </si>
  <si>
    <t>B4</t>
  </si>
  <si>
    <t>B5</t>
  </si>
  <si>
    <t>C3</t>
  </si>
  <si>
    <t>Puka veetorustiku rajamine pikaajalises programmis</t>
  </si>
  <si>
    <t>Puka veetorustiku rajamine pikaajalises programmis kokku</t>
  </si>
  <si>
    <t>Puka isevoolse kanalisatsioonitorustiku rajamine pikaajalises programmis</t>
  </si>
  <si>
    <t>Puka isevoolse ühiskanalisatsiooni rajamine pikaajalises programmis kokku</t>
  </si>
  <si>
    <t>Puka aleviku pikaajalised investeeringud kokku</t>
  </si>
  <si>
    <t>Muud kulud, sealhulgas liitumispunktide rajamine (ligikaudne arv Pukas)</t>
  </si>
  <si>
    <t>Muud kulud, sealhulgas liitumispunktide rajamine (ligikaudne arv 30)</t>
  </si>
  <si>
    <t>isevoolse kanalisatsioonitorustiku rajamine de160-200 aleviku täielikuks teenusega katmiseks</t>
  </si>
  <si>
    <t>Sangaste veetöötluskompleksi rekonstrueerimine</t>
  </si>
  <si>
    <t xml:space="preserve">Veetöötlusjaama ja pumplahoone rekonstrueerimine, sealhulgas: </t>
  </si>
  <si>
    <t>Kõigi aeratsiooni- ja filterpaakide vahetus ja asendus; elektri-automaatikaseadmete täielik väljavahetamine; pumplatorustiku asendamine; puhtaveemahuti pesu ja desinfitseerimine, hoone põhjalik sanitaarremont</t>
  </si>
  <si>
    <t>Sangaste veetöötluskompleksi rekonstrueerimine kokku</t>
  </si>
  <si>
    <t>E5</t>
  </si>
  <si>
    <t>Sangaste aleviku reoveepuhasti rekonstrueerimine</t>
  </si>
  <si>
    <t>Sangaste reoveepuhasti rekonstrueerimine jõudlusega Q = 35-40 m3/d, R = 10 – 15 kg BHT7/d, 200 ie ehitamine, sh olemasoleva reoveepuhasti mahutite ja hoonete täielik lammutamine ja uue annus väikepuhasti rajamine settekaevude likvideerimine; reoveepumpla rajamine; tehnohoone rajamine; automaatvõre paigaldamine tehnohoonesse; ühtlustusmahuti ja SBR rajamine, kogu elektri-automaatikasüsteemikaasajastamine, andmeedastsuvalmiduse tagamine, biotiigi puhastamine ning kogu puhasti torustike, sealhulgas biotiikide vaheliste torustike rekonstrueerimine/asendamine, ümbruse korrastamine, piirdeaia rajamine koos lukustatava väravaga</t>
  </si>
  <si>
    <t>Sangaste reoveepuhasti rekonstrueerimine pikaajalises programmis kokku</t>
  </si>
  <si>
    <t>Sangaste aleviku pikaajalised investeeringud kokku</t>
  </si>
  <si>
    <t>Keeni veetorustiku rajamine pikaajalises programmis</t>
  </si>
  <si>
    <t>H2</t>
  </si>
  <si>
    <t>Veetoru de50 rajamine Pargi tee 12, 14 ja 16 piirkonnale (Transpordiameti maantee)</t>
  </si>
  <si>
    <t>Keeni veetorustiku rekonstrueerimine pikaajalises programmis</t>
  </si>
  <si>
    <t>Veetoru de32…63 rekonstrueerimine kogu küla  ulatuses</t>
  </si>
  <si>
    <t>Muud kulud, sealhulgas liitumispunktide rajamine (ligikaudne arv Keenis)</t>
  </si>
  <si>
    <t>Keeni veetorustiku rajamine pikaajalises programmis kokku</t>
  </si>
  <si>
    <t>Keeni veetorustiku rekonstrueerimine pikaajalises programmis kokku</t>
  </si>
  <si>
    <t>Muud kulud, sealhulgas liitumispunktide rekonstrueerimine (ligikaudne arv 30)</t>
  </si>
  <si>
    <t>Keeni isevoolse kanalisatsioonitorustiku rekonstrueerimine pikaajalises programmis</t>
  </si>
  <si>
    <t>isevoolse kanalisatsioonitorustiku rekonstrueerimine de160-200 küla kogu kanalisatsiooni korrastamiseks</t>
  </si>
  <si>
    <t>Keeni isevoolse ühiskanalisatsiooni rekonstrueerimine pikaajalises programmis kokku</t>
  </si>
  <si>
    <t>Keeni küla pikaajalised investeeringud kokku</t>
  </si>
  <si>
    <t>Sihva küla isevoolse kanalisatsioonitorustiku rekonstrueerimine  pikaajalises programmis</t>
  </si>
  <si>
    <t>Sihva küla isevoolse kanalisatsioonivõrgu rekonstrueerimine pikaajalises programmis kokku</t>
  </si>
  <si>
    <t>Sihva küla reoveepuhasti rekonstrueerimine</t>
  </si>
  <si>
    <t>Sihva küla reoveepuhasti rekonstrueerimine pikaajalises programmis kokku</t>
  </si>
  <si>
    <t>Sihva küla pikaajalised investeeringud kokku</t>
  </si>
  <si>
    <t>Isevoolse kanalisatsioonitorustiku rekonstrueerimine de160 kogu Sihva keskasulas</t>
  </si>
  <si>
    <t>Komsi küla</t>
  </si>
  <si>
    <t>Muud kulud, sealhulgas liitumispunktide rajamine (ligikaudne arv Komsis)</t>
  </si>
  <si>
    <t>Komsi veetorustiku rekonstrueerimine pikaajalises programmis</t>
  </si>
  <si>
    <t>Komsi veetorustiku rekonstrueerimine pikaajalises programmis kokku</t>
  </si>
  <si>
    <t>Komsi isevoolse kanalisatsioonitorustiku rekonstrueerimine pikaajalises programmis</t>
  </si>
  <si>
    <t>Komsi isevoolse ühiskanalisatsiooni rekonstrueerimine pikaajalises programmis kokku</t>
  </si>
  <si>
    <t>Komsi pikaajalised investeeringud kokku</t>
  </si>
  <si>
    <t>G5</t>
  </si>
  <si>
    <t>Nõuni isevoolse kanalisatsioonitorustiku rekonstrueerimine pikaajalises programmis</t>
  </si>
  <si>
    <t>Nõuni isevoolse ühiskanalisatsiooni rekonstrueerimine pikaajalises programmis kokku</t>
  </si>
  <si>
    <t>Nõuni küla pikaajalised investeeringud kokku</t>
  </si>
  <si>
    <t>J2-2</t>
  </si>
  <si>
    <t>Muud kulud, sealhulgas liitumispunktide rekonstrueerimine (ligikaudne arv 17</t>
  </si>
  <si>
    <t>isevoolse kanalisatsioonitorustiku rekonstrueerimine de160 küla lääneosa kanalisatsiooni korrastamiseks</t>
  </si>
  <si>
    <t>Veetoru de40…50 rekonstrueerimine küla  kesk- ja lõunaosas</t>
  </si>
  <si>
    <t>isevoolse kanalisatsioonitorustiku rekonstrueerimine de160 küla keskosas</t>
  </si>
  <si>
    <t>Muud kulud, sealhulgas liitumispunktide rekonstrueerimine (ligikaudne arv 8)</t>
  </si>
  <si>
    <t>Otepää linn (Aedlinna piirkond)</t>
  </si>
  <si>
    <t xml:space="preserve">Tuletõrjeveevõtukoha rajamine </t>
  </si>
  <si>
    <t>Puka veevõrgu rekonstrueerimine pikaajalises programmis</t>
  </si>
  <si>
    <t>D4-1</t>
  </si>
  <si>
    <t>D4-2</t>
  </si>
  <si>
    <r>
      <t>Puka isevoolse kanalisatsiooni rekonstrueerimine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pikaajalises programmis</t>
    </r>
  </si>
  <si>
    <t>Veetoru de40-75 PE rekonstrueerimine, Kooli ja Nooruse tn piirkond</t>
  </si>
  <si>
    <t>Veetoru de40-75 PE rekonstrueerimine</t>
  </si>
  <si>
    <t>E4-1</t>
  </si>
  <si>
    <t>F2-1</t>
  </si>
  <si>
    <t>F2-2</t>
  </si>
  <si>
    <t>Sihva küla isevoolse kanalisatsioonitorustiku rajamine pikaajalises programmis</t>
  </si>
  <si>
    <t>Sihva veevõrgu rekonstrueerimine pikaajalises programmis</t>
  </si>
  <si>
    <t>G3-2</t>
  </si>
  <si>
    <t xml:space="preserve">Sihva kanalisatsiooni survetorustiku rajamine pikaajalises programmis </t>
  </si>
  <si>
    <t xml:space="preserve">kanalisatsiooni survetorustiku rajamine de90 </t>
  </si>
  <si>
    <t>G1</t>
  </si>
  <si>
    <t>Sihva veetöötlusjaama rekonstrueerimine</t>
  </si>
  <si>
    <t>Veetöötlusfiltrite asendamine ning KMnO4 dosatori asendamine õhustussüsteemiga (kompressor)</t>
  </si>
  <si>
    <t>kmp ja töö</t>
  </si>
  <si>
    <t>Sihva  veetöötlusjaama rekonstrueerimine, investeering kokku</t>
  </si>
  <si>
    <t xml:space="preserve">Sihva küla </t>
  </si>
  <si>
    <t>Sihva küla lühiajalised investeeringud kokku</t>
  </si>
  <si>
    <t xml:space="preserve">Nõuni küla reoveepuhasti rekonstrueerimine pikaajalises programmis </t>
  </si>
  <si>
    <t>D2</t>
  </si>
  <si>
    <t>F1</t>
  </si>
  <si>
    <t>Keeni reoveepuhasti rekonstrueerimine lühiajalises programmis</t>
  </si>
  <si>
    <t>Keeni reoveepuhasti rekonstrueerimine, sh: biopuhasti Fil D`EAU ümberseadiatamine ja töösse rakendamine</t>
  </si>
  <si>
    <t>Sihva reoveepuhasti rekonstrueerimine jõudlusega Q = 30-40 m3/d, R = 10 – 15 kg BHT7/d, 250 ie ehitamine, sh olemasoleva reoveepuhasti mahutite ja hoonete täielik lammutamine ja uue annus- väikepuhasti rajamine settekaevude likvideerimine; reoveepumpla rajamine; tehnohoone rajamine; automaatvõre paigaldamine tehnohoonesse; ühtlustusmahuti ja SBR rajamine, kogu elektri-automaatikasüsteemikaasajastamine, andmeedastsuvalmiduse tagamine, biotiigi puhastamine ning kogu puhasti torustike, sealhulgas biotiikide vaheliste torustike rekonstrueerimine/asendamine, ümbruse korrastamine, piirdeaia rajamine koos lukustatava väravaga</t>
  </si>
  <si>
    <t>G4-1</t>
  </si>
  <si>
    <t>G4-2</t>
  </si>
  <si>
    <t>G4-3</t>
  </si>
  <si>
    <t>G2</t>
  </si>
  <si>
    <t>Sihva veevõrgu pesuotsikute paigaldamine lühiajalises programmis</t>
  </si>
  <si>
    <t>Sihva veevõrgu pesuotsikute rajamine lühiajalises programmis peatorustikele</t>
  </si>
  <si>
    <t>Sihva veevõrgu pesuotsikute paigaldamine lühiajalises programmis kokku</t>
  </si>
  <si>
    <t>Pühajärve küla (Kannistiku prk)</t>
  </si>
  <si>
    <t>Otepää Aedlinna veevõrgu  pesuotsikute paigaldamine pikaajalises programmis kokku</t>
  </si>
  <si>
    <t>Otepää Aedlinna veevõrgu hüdrantide paigaldamine lühiajalises programmis</t>
  </si>
  <si>
    <t>Sangaste veevõrgu pesuotsikute paigaldamine pikaajalises programmis</t>
  </si>
  <si>
    <t>Sangaste veevõrgu pesuotsikute rajamine pikaajalises programmis peatorustikele</t>
  </si>
  <si>
    <t>Otepää Aedlinna veetorustike pesuotsikute rajamine pikaajalises programmis</t>
  </si>
  <si>
    <t>Otepää Aedlinna veevõrgu pesuotsikute rajamine pikaajalises programmis peatorustikele</t>
  </si>
  <si>
    <t>B6</t>
  </si>
  <si>
    <t>F4</t>
  </si>
  <si>
    <t>Keeni veevõrgu pesuotsikute paigaldamine pikaajalises programmis</t>
  </si>
  <si>
    <t>Keeni veevõrgu pesuotsikute rajamine pikaajalises programmis peatorustikele</t>
  </si>
  <si>
    <t>Keeni veevõrgu pesuotsikute paigaldamine pikaajalises programmis kokku</t>
  </si>
  <si>
    <t>E1-1</t>
  </si>
  <si>
    <t>D1-2</t>
  </si>
  <si>
    <t>D1-3</t>
  </si>
  <si>
    <t>E1-2</t>
  </si>
  <si>
    <t>Nõuni veevõrgu pesuotsikute paigaldamine pikaajalises programmis</t>
  </si>
  <si>
    <t>Nõuni veevõrgu pesuotsikute rajamine pikaajalises programmis peatorustikele</t>
  </si>
  <si>
    <t>Nõuni veevõrgu pesuotsikute paigaldamine pikaajalises programmis kokku</t>
  </si>
  <si>
    <t>H3</t>
  </si>
  <si>
    <t>Pühajärve küla (Kannistiku) reoveepuhasti rekonstrueerimine</t>
  </si>
  <si>
    <t>Pühajärve küla Kannistiku reoveepuhasti rekonstrueerimine väikese annuspuhasti väljaehitamisega
jõudlusega: Q = 10-15 m3/d, R = 3–5 kg
BHT7/d, tootlikkus 60-70 ie. Vana reoveepuhasti biotiigid puhastatakse; biotiikidevahelised
ühendused ja väljavool rekonstrueeritakse ja kogu
jaam ümbritsetakse uue aiaga; haljastus- ja heakorratööd</t>
  </si>
  <si>
    <t>Pühajärve küla Kannistiku reoveepuhasti rekonstrueerimine kokku</t>
  </si>
  <si>
    <t>Pühajärve küla (Kannistiku) pikaajalised investeeringud kokku</t>
  </si>
  <si>
    <t>Pühajärve küla (Kannistiku) ühiskanalisatsioonitorustiku rekonstrueerimine kokku</t>
  </si>
  <si>
    <t>Sangaste veevõrgu rekonstrueerimine lühiajalises programmis</t>
  </si>
  <si>
    <t>Otepää Aedlinna veevõrgu pesuotsikute paigaldamine lühiajalises programmis</t>
  </si>
  <si>
    <t>PIKKA</t>
  </si>
  <si>
    <t>Kõigi aeratsiooni- ja filterpaakide vahetus ja asendus; elektri-automaatikaseadmete täielik väljavahetamine; pumplatorustiku asendamine; toorvee- ja puhtaveemahutite pesu ja desinfitseerimine, veepidavuskontroll // II ETAPP</t>
  </si>
  <si>
    <t>Veetoru de40-63 rajamine sealhulgas: ühendus ning Puka aleviku idaosa veevarustuse väljaarendamine</t>
  </si>
  <si>
    <t>Kopli tn VTJ</t>
  </si>
  <si>
    <t>Keskuse VTJ</t>
  </si>
  <si>
    <t>Isevoolse kanalisatsioonitorustiku JA VEE rajamine de160 Antsu, Tiidu-Hansu ja Kondi-Rahnu piirkonnas</t>
  </si>
  <si>
    <t>töö ja kmpl // I etapp</t>
  </si>
  <si>
    <t>Otepää reserv-veetöötlusjamade rekonstrueerimine aastatel 2026-2027 kokku</t>
  </si>
  <si>
    <t>Otepää reserv-veetöötlusjamade rekonstrueerimine (2026-2027)</t>
  </si>
  <si>
    <t>A4</t>
  </si>
  <si>
    <t xml:space="preserve">Nõuni küla </t>
  </si>
  <si>
    <t>Nõuni veetöötlusjaama rekonstrueerimine</t>
  </si>
  <si>
    <t>Nõuni uue VTJ rajamine ( vana reservi) ja metsatukas uus</t>
  </si>
  <si>
    <t>Nõuni uue VTJ rajamine lühiajalises programmis kokku</t>
  </si>
  <si>
    <t>Nõuni küla lühiajalised investeeringud kokku</t>
  </si>
  <si>
    <t>J2</t>
  </si>
  <si>
    <t>J1</t>
  </si>
  <si>
    <t xml:space="preserve">Komsi uue puurkaevpumpla rajamine </t>
  </si>
  <si>
    <t>Nõuni reoveepuhasti rekonstrueerimine: olemasoleva Bioclere nõrgfilterpuhasti lammutamine ja seadmete utiliseerimine ning erilahendusega annus- väikepuhasti rajamine, sh ümbruse korrastamine, haljastamine ning lukustatava väravaga piirdeaia rajamine (vt täpsemalt seletuskiri, alternatiivide osa)</t>
  </si>
  <si>
    <t>Nõuni reoveepuhasti rekonstrueerimine pikaajalises programmis kokku</t>
  </si>
  <si>
    <t>Komsi uue puurkaevu ja VTJ rajamine kokku</t>
  </si>
  <si>
    <t>J4</t>
  </si>
  <si>
    <t>Komsi reoveepuhasti (RVP) rekonstrueerimine  pikaajalises programmis</t>
  </si>
  <si>
    <t>Komsi RVP rekonstrueerimine</t>
  </si>
  <si>
    <t>Komsi uue puurkaevpupla ja VTJ rajamine kokku</t>
  </si>
  <si>
    <t>reoveepumplate rekonstrueerimine 17 tk</t>
  </si>
  <si>
    <t>Otepää valla reoveepumplate rekonstrueerimine pikaajalises programmis</t>
  </si>
  <si>
    <t>Otepää valla reoveepumplate rekonstrueerimine pikaajalises programmis kokku</t>
  </si>
  <si>
    <t>Sangaste isevoolse kanalisatsiooni rekonstrueerimine pikaajalises programmis</t>
  </si>
  <si>
    <t>Kõigi aeratsiooni- ja filterpaakide vahetus ja asendus; elektri-automaatikaseadmete täielik väljavahetamine kokku</t>
  </si>
  <si>
    <t>A</t>
  </si>
  <si>
    <t>B</t>
  </si>
  <si>
    <t>isevoolse kanalisatsioonitorustiku rajamine</t>
  </si>
  <si>
    <t>C</t>
  </si>
  <si>
    <t>Arendajate investeeringud kokku Taaravainu küla Mirdimäe DP</t>
  </si>
  <si>
    <t xml:space="preserve">Kanalisatsiooni survetorustiku rajamine  </t>
  </si>
  <si>
    <t>Nüpli küla ÜK teenindamiseks küla reoveepumplate rajamine</t>
  </si>
  <si>
    <t xml:space="preserve">isevoolse kanalisatsioonitorustiku rajamine PVC Sn8 de160 </t>
  </si>
  <si>
    <t>survekanalisatsioonitorustiku rajamine PE100-RC de63 PN10 SDR 17, max kinnisel meetodil</t>
  </si>
  <si>
    <t>Reoveepumpla ehitus kuni 5 l/s</t>
  </si>
  <si>
    <t xml:space="preserve">Kõik kokku Nüpli küla ühiskanalisatsiooni arenduse investeeringud </t>
  </si>
  <si>
    <t>Arendajate poolt teostatavad projektid, lühiajaline programm 2027-2028</t>
  </si>
  <si>
    <t>Nüpli küla (Väike-Munamägi piirkonna Munamäe-Jaanioru tee ja Tatra-Otepää-Sangaste mnt) )(ei kuulu ÜVK tariifide arvutustesse)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</si>
</sst>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 tint="4.9989318521683403E-2"/>
      <name val="Arial"/>
      <family val="2"/>
      <charset val="186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2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5" fillId="0" borderId="0" xfId="1"/>
    <xf numFmtId="0" fontId="0" fillId="0" borderId="0" xfId="0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 readingOrder="1"/>
    </xf>
    <xf numFmtId="2" fontId="9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10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" fontId="9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1" fontId="10" fillId="2" borderId="1" xfId="0" applyNumberFormat="1" applyFont="1" applyFill="1" applyBorder="1"/>
    <xf numFmtId="1" fontId="9" fillId="2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/>
    <xf numFmtId="0" fontId="9" fillId="2" borderId="1" xfId="0" applyFont="1" applyFill="1" applyBorder="1"/>
    <xf numFmtId="2" fontId="9" fillId="2" borderId="1" xfId="0" applyNumberFormat="1" applyFont="1" applyFill="1" applyBorder="1"/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1" fontId="0" fillId="0" borderId="0" xfId="0" applyNumberFormat="1"/>
    <xf numFmtId="0" fontId="9" fillId="0" borderId="1" xfId="0" applyFont="1" applyBorder="1" applyAlignment="1">
      <alignment horizontal="right"/>
    </xf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1" fontId="15" fillId="0" borderId="1" xfId="0" applyNumberFormat="1" applyFont="1" applyBorder="1"/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right"/>
    </xf>
    <xf numFmtId="2" fontId="10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 wrapText="1"/>
    </xf>
    <xf numFmtId="0" fontId="0" fillId="2" borderId="0" xfId="0" applyFill="1"/>
    <xf numFmtId="0" fontId="10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wrapText="1" readingOrder="1"/>
    </xf>
    <xf numFmtId="0" fontId="18" fillId="2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1" fontId="18" fillId="0" borderId="1" xfId="0" applyNumberFormat="1" applyFont="1" applyBorder="1" applyAlignment="1">
      <alignment horizontal="right"/>
    </xf>
    <xf numFmtId="1" fontId="18" fillId="2" borderId="1" xfId="0" applyNumberFormat="1" applyFont="1" applyFill="1" applyBorder="1"/>
    <xf numFmtId="0" fontId="18" fillId="0" borderId="1" xfId="0" applyFont="1" applyBorder="1" applyAlignment="1">
      <alignment horizontal="center" wrapText="1"/>
    </xf>
    <xf numFmtId="164" fontId="18" fillId="0" borderId="1" xfId="0" applyNumberFormat="1" applyFont="1" applyBorder="1" applyAlignment="1">
      <alignment horizontal="right"/>
    </xf>
    <xf numFmtId="164" fontId="18" fillId="0" borderId="1" xfId="0" applyNumberFormat="1" applyFont="1" applyBorder="1"/>
    <xf numFmtId="1" fontId="18" fillId="0" borderId="1" xfId="0" applyNumberFormat="1" applyFont="1" applyBorder="1" applyAlignment="1">
      <alignment wrapText="1"/>
    </xf>
    <xf numFmtId="1" fontId="19" fillId="0" borderId="1" xfId="0" applyNumberFormat="1" applyFont="1" applyBorder="1" applyAlignment="1">
      <alignment horizontal="right"/>
    </xf>
    <xf numFmtId="0" fontId="19" fillId="0" borderId="2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9" fillId="0" borderId="2" xfId="0" applyFont="1" applyBorder="1" applyAlignment="1">
      <alignment horizontal="right" wrapText="1"/>
    </xf>
    <xf numFmtId="0" fontId="19" fillId="0" borderId="5" xfId="0" applyFont="1" applyBorder="1" applyAlignment="1">
      <alignment horizontal="right" wrapText="1"/>
    </xf>
    <xf numFmtId="0" fontId="18" fillId="0" borderId="7" xfId="0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18" fillId="0" borderId="5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6" fillId="0" borderId="2" xfId="0" applyFont="1" applyBorder="1" applyAlignment="1">
      <alignment horizontal="right" wrapText="1"/>
    </xf>
    <xf numFmtId="0" fontId="17" fillId="0" borderId="5" xfId="0" applyFont="1" applyBorder="1" applyAlignment="1">
      <alignment horizontal="right"/>
    </xf>
    <xf numFmtId="0" fontId="17" fillId="0" borderId="7" xfId="0" applyFont="1" applyBorder="1" applyAlignment="1">
      <alignment horizontal="right"/>
    </xf>
    <xf numFmtId="0" fontId="16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10" fillId="0" borderId="5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2" borderId="2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 wrapText="1"/>
    </xf>
    <xf numFmtId="0" fontId="9" fillId="2" borderId="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0" fillId="2" borderId="3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4" fillId="0" borderId="5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0" fillId="0" borderId="1" xfId="0" applyFont="1" applyBorder="1"/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5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5" fillId="0" borderId="2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0" fillId="0" borderId="5" xfId="0" applyFont="1" applyBorder="1" applyAlignment="1">
      <alignment horizontal="right" wrapText="1"/>
    </xf>
    <xf numFmtId="0" fontId="1" fillId="0" borderId="2" xfId="0" applyFont="1" applyBorder="1" applyAlignment="1">
      <alignment horizontal="left" vertical="justify" wrapText="1"/>
    </xf>
    <xf numFmtId="0" fontId="3" fillId="0" borderId="7" xfId="0" applyFont="1" applyBorder="1" applyAlignment="1">
      <alignment horizontal="left" vertical="justify" wrapText="1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369"/>
  <sheetViews>
    <sheetView tabSelected="1" zoomScaleNormal="100" workbookViewId="0">
      <pane ySplit="1970" topLeftCell="A365" activePane="bottomLeft"/>
      <selection activeCell="O1" sqref="O1:O1048576"/>
      <selection pane="bottomLeft" activeCell="J369" sqref="J369"/>
    </sheetView>
  </sheetViews>
  <sheetFormatPr defaultRowHeight="14.5" x14ac:dyDescent="0.35"/>
  <cols>
    <col min="4" max="4" width="8.7265625" customWidth="1"/>
    <col min="5" max="5" width="9" customWidth="1"/>
    <col min="6" max="6" width="33" customWidth="1"/>
    <col min="8" max="8" width="7.7265625" customWidth="1"/>
    <col min="9" max="9" width="15.1796875" customWidth="1"/>
    <col min="10" max="10" width="24.26953125" style="72" customWidth="1"/>
    <col min="11" max="11" width="10.81640625" customWidth="1"/>
    <col min="12" max="12" width="13" customWidth="1"/>
    <col min="13" max="13" width="10.26953125" customWidth="1"/>
    <col min="14" max="14" width="11.453125" customWidth="1"/>
  </cols>
  <sheetData>
    <row r="1" spans="3:14" x14ac:dyDescent="0.35">
      <c r="C1" s="134" t="s">
        <v>69</v>
      </c>
      <c r="D1" s="134"/>
      <c r="E1" s="134"/>
      <c r="F1" s="134"/>
      <c r="G1" s="134"/>
      <c r="H1" s="134"/>
      <c r="I1" s="134"/>
      <c r="J1" s="134"/>
      <c r="K1" s="16"/>
      <c r="L1" s="16"/>
      <c r="M1" s="16"/>
      <c r="N1" s="16"/>
    </row>
    <row r="2" spans="3:14" ht="21" customHeight="1" x14ac:dyDescent="0.35">
      <c r="C2" s="134"/>
      <c r="D2" s="134"/>
      <c r="E2" s="134"/>
      <c r="F2" s="134"/>
      <c r="G2" s="134"/>
      <c r="H2" s="134"/>
      <c r="I2" s="134"/>
      <c r="J2" s="134"/>
      <c r="K2" s="16"/>
      <c r="L2" s="16"/>
      <c r="M2" s="16"/>
      <c r="N2" s="16"/>
    </row>
    <row r="3" spans="3:14" ht="14.25" customHeight="1" x14ac:dyDescent="0.35">
      <c r="C3" s="139" t="s">
        <v>0</v>
      </c>
      <c r="D3" s="139" t="s">
        <v>31</v>
      </c>
      <c r="E3" s="135" t="s">
        <v>34</v>
      </c>
      <c r="F3" s="136"/>
      <c r="G3" s="141" t="s">
        <v>1</v>
      </c>
      <c r="H3" s="141" t="s">
        <v>2</v>
      </c>
      <c r="I3" s="139" t="s">
        <v>59</v>
      </c>
      <c r="J3" s="143" t="s">
        <v>33</v>
      </c>
      <c r="K3" s="16"/>
      <c r="L3" s="16"/>
      <c r="M3" s="16"/>
      <c r="N3" s="16"/>
    </row>
    <row r="4" spans="3:14" ht="42.75" customHeight="1" x14ac:dyDescent="0.35">
      <c r="C4" s="140"/>
      <c r="D4" s="145"/>
      <c r="E4" s="137"/>
      <c r="F4" s="138"/>
      <c r="G4" s="142"/>
      <c r="H4" s="142"/>
      <c r="I4" s="140"/>
      <c r="J4" s="144"/>
      <c r="K4" s="133" t="s">
        <v>44</v>
      </c>
      <c r="L4" s="133"/>
      <c r="M4" s="120" t="s">
        <v>45</v>
      </c>
      <c r="N4" s="120"/>
    </row>
    <row r="5" spans="3:14" ht="16.5" customHeight="1" x14ac:dyDescent="0.35">
      <c r="C5" s="121" t="s">
        <v>58</v>
      </c>
      <c r="D5" s="133"/>
      <c r="E5" s="133"/>
      <c r="F5" s="133"/>
      <c r="G5" s="133"/>
      <c r="H5" s="133"/>
      <c r="I5" s="133"/>
      <c r="J5" s="133"/>
      <c r="K5" s="18" t="s">
        <v>46</v>
      </c>
      <c r="L5" s="18" t="s">
        <v>47</v>
      </c>
      <c r="M5" s="20" t="s">
        <v>48</v>
      </c>
      <c r="N5" s="21" t="s">
        <v>49</v>
      </c>
    </row>
    <row r="6" spans="3:14" ht="16.5" customHeight="1" x14ac:dyDescent="0.35">
      <c r="C6" s="121" t="s">
        <v>71</v>
      </c>
      <c r="D6" s="120"/>
      <c r="E6" s="120"/>
      <c r="F6" s="120"/>
      <c r="G6" s="120"/>
      <c r="H6" s="120"/>
      <c r="I6" s="120"/>
      <c r="J6" s="120"/>
      <c r="K6" s="18"/>
      <c r="L6" s="18"/>
      <c r="M6" s="19"/>
      <c r="N6" s="19"/>
    </row>
    <row r="7" spans="3:14" ht="16.5" customHeight="1" x14ac:dyDescent="0.35">
      <c r="C7" s="124" t="s">
        <v>70</v>
      </c>
      <c r="D7" s="125"/>
      <c r="E7" s="125"/>
      <c r="F7" s="125"/>
      <c r="G7" s="125"/>
      <c r="H7" s="125"/>
      <c r="I7" s="125"/>
      <c r="J7" s="126"/>
      <c r="K7" s="18"/>
      <c r="L7" s="18"/>
      <c r="M7" s="19"/>
      <c r="N7" s="19"/>
    </row>
    <row r="8" spans="3:14" ht="28" customHeight="1" x14ac:dyDescent="0.35">
      <c r="C8" s="24"/>
      <c r="D8" s="19" t="s">
        <v>273</v>
      </c>
      <c r="E8" s="106" t="s">
        <v>114</v>
      </c>
      <c r="F8" s="107"/>
      <c r="G8" s="24"/>
      <c r="H8" s="24"/>
      <c r="I8" s="32"/>
      <c r="J8" s="64"/>
      <c r="K8" s="18"/>
      <c r="L8" s="18"/>
      <c r="M8" s="18"/>
      <c r="N8" s="27"/>
    </row>
    <row r="9" spans="3:14" ht="34" customHeight="1" x14ac:dyDescent="0.35">
      <c r="C9" s="24">
        <v>1</v>
      </c>
      <c r="D9" s="63"/>
      <c r="E9" s="118" t="s">
        <v>112</v>
      </c>
      <c r="F9" s="119"/>
      <c r="G9" s="19"/>
      <c r="H9" s="19"/>
      <c r="I9" s="25"/>
      <c r="J9" s="64"/>
      <c r="K9" s="18"/>
      <c r="L9" s="18"/>
      <c r="M9" s="27"/>
      <c r="N9" s="27"/>
    </row>
    <row r="10" spans="3:14" ht="68.5" customHeight="1" x14ac:dyDescent="0.35">
      <c r="C10" s="24"/>
      <c r="D10" s="39"/>
      <c r="E10" s="111" t="s">
        <v>113</v>
      </c>
      <c r="F10" s="112"/>
      <c r="G10" s="24" t="s">
        <v>270</v>
      </c>
      <c r="H10" s="19">
        <v>1</v>
      </c>
      <c r="I10" s="25">
        <v>50000</v>
      </c>
      <c r="J10" s="64">
        <f>I10*H10</f>
        <v>50000</v>
      </c>
      <c r="K10" s="18">
        <f>+J10*1.15</f>
        <v>57499.999999999993</v>
      </c>
      <c r="L10" s="18"/>
      <c r="M10" s="27">
        <f>+K10*0.067</f>
        <v>3852.4999999999995</v>
      </c>
      <c r="N10" s="26"/>
    </row>
    <row r="11" spans="3:14" ht="16.5" customHeight="1" x14ac:dyDescent="0.35">
      <c r="C11" s="113" t="s">
        <v>115</v>
      </c>
      <c r="D11" s="114"/>
      <c r="E11" s="114"/>
      <c r="F11" s="114"/>
      <c r="G11" s="114"/>
      <c r="H11" s="114"/>
      <c r="I11" s="28"/>
      <c r="J11" s="42">
        <f>SUM(J10:J10)</f>
        <v>50000</v>
      </c>
      <c r="K11" s="18"/>
      <c r="L11" s="18"/>
      <c r="M11" s="27"/>
      <c r="N11" s="27"/>
    </row>
    <row r="12" spans="3:14" ht="16.5" customHeight="1" x14ac:dyDescent="0.35">
      <c r="C12" s="115" t="s">
        <v>43</v>
      </c>
      <c r="D12" s="109"/>
      <c r="E12" s="109"/>
      <c r="F12" s="109"/>
      <c r="G12" s="109"/>
      <c r="H12" s="109"/>
      <c r="I12" s="110"/>
      <c r="J12" s="64">
        <f>J11*0.1</f>
        <v>5000</v>
      </c>
      <c r="K12" s="18"/>
      <c r="L12" s="18"/>
      <c r="M12" s="27"/>
      <c r="N12" s="27"/>
    </row>
    <row r="13" spans="3:14" ht="16.5" customHeight="1" x14ac:dyDescent="0.35">
      <c r="C13" s="115" t="s">
        <v>51</v>
      </c>
      <c r="D13" s="109"/>
      <c r="E13" s="109"/>
      <c r="F13" s="109"/>
      <c r="G13" s="109"/>
      <c r="H13" s="109"/>
      <c r="I13" s="110"/>
      <c r="J13" s="64">
        <f>J11*0.05</f>
        <v>2500</v>
      </c>
      <c r="K13" s="18"/>
      <c r="L13" s="18"/>
      <c r="M13" s="23"/>
      <c r="N13" s="27"/>
    </row>
    <row r="14" spans="3:14" ht="16.5" customHeight="1" x14ac:dyDescent="0.35">
      <c r="C14" s="108" t="s">
        <v>24</v>
      </c>
      <c r="D14" s="109"/>
      <c r="E14" s="109"/>
      <c r="F14" s="109"/>
      <c r="G14" s="109"/>
      <c r="H14" s="109"/>
      <c r="I14" s="110"/>
      <c r="J14" s="42">
        <f>SUM(J11:J13)</f>
        <v>57500</v>
      </c>
      <c r="K14" s="23">
        <f>SUM(K10:K13)</f>
        <v>57499.999999999993</v>
      </c>
      <c r="L14" s="23"/>
      <c r="M14" s="23">
        <f>SUM(M10:M13)</f>
        <v>3852.4999999999995</v>
      </c>
      <c r="N14" s="23"/>
    </row>
    <row r="15" spans="3:14" ht="28.5" customHeight="1" x14ac:dyDescent="0.35">
      <c r="C15" s="51"/>
      <c r="D15" s="19" t="s">
        <v>53</v>
      </c>
      <c r="E15" s="127" t="s">
        <v>272</v>
      </c>
      <c r="F15" s="128"/>
      <c r="G15" s="55"/>
      <c r="H15" s="55"/>
      <c r="I15" s="55"/>
      <c r="J15" s="65"/>
      <c r="K15" s="18"/>
      <c r="L15" s="18"/>
      <c r="M15" s="19"/>
      <c r="N15" s="19"/>
    </row>
    <row r="16" spans="3:14" ht="32.5" customHeight="1" x14ac:dyDescent="0.35">
      <c r="C16" s="38">
        <v>1</v>
      </c>
      <c r="D16" s="63"/>
      <c r="E16" s="111" t="s">
        <v>267</v>
      </c>
      <c r="F16" s="112"/>
      <c r="G16" s="24" t="s">
        <v>73</v>
      </c>
      <c r="H16" s="19">
        <v>1</v>
      </c>
      <c r="I16" s="25">
        <v>17000</v>
      </c>
      <c r="J16" s="64">
        <f>I16*H16</f>
        <v>17000</v>
      </c>
      <c r="K16" s="18">
        <f>+J16*1.15</f>
        <v>19550</v>
      </c>
      <c r="L16" s="18"/>
      <c r="M16" s="27">
        <f>+K16*0.067</f>
        <v>1309.8500000000001</v>
      </c>
      <c r="N16" s="27"/>
    </row>
    <row r="17" spans="3:15" ht="31" customHeight="1" x14ac:dyDescent="0.35">
      <c r="C17" s="38">
        <v>2</v>
      </c>
      <c r="D17" s="73"/>
      <c r="E17" s="129" t="s">
        <v>268</v>
      </c>
      <c r="F17" s="130"/>
      <c r="G17" s="53" t="s">
        <v>73</v>
      </c>
      <c r="H17" s="54">
        <v>1</v>
      </c>
      <c r="I17" s="25">
        <v>17000</v>
      </c>
      <c r="J17" s="64">
        <f>I17*H17</f>
        <v>17000</v>
      </c>
      <c r="K17" s="18">
        <f>+J17*1.15</f>
        <v>19550</v>
      </c>
      <c r="L17" s="18"/>
      <c r="M17" s="27">
        <f>+K17*0.067</f>
        <v>1309.8500000000001</v>
      </c>
      <c r="N17" s="27"/>
    </row>
    <row r="18" spans="3:15" ht="18" customHeight="1" x14ac:dyDescent="0.35">
      <c r="C18" s="108" t="s">
        <v>271</v>
      </c>
      <c r="D18" s="131"/>
      <c r="E18" s="131"/>
      <c r="F18" s="131"/>
      <c r="G18" s="131"/>
      <c r="H18" s="132"/>
      <c r="I18" s="52"/>
      <c r="J18" s="42">
        <f>SUM(J16:J17)</f>
        <v>34000</v>
      </c>
      <c r="K18" s="18"/>
      <c r="L18" s="18"/>
      <c r="M18" s="19"/>
      <c r="N18" s="19"/>
    </row>
    <row r="19" spans="3:15" ht="16.5" customHeight="1" x14ac:dyDescent="0.35">
      <c r="C19" s="115" t="s">
        <v>43</v>
      </c>
      <c r="D19" s="109"/>
      <c r="E19" s="109"/>
      <c r="F19" s="109"/>
      <c r="G19" s="109"/>
      <c r="H19" s="109"/>
      <c r="I19" s="110"/>
      <c r="J19" s="64">
        <f>J18*0.1</f>
        <v>3400</v>
      </c>
      <c r="K19" s="18"/>
      <c r="L19" s="27"/>
      <c r="M19" s="27"/>
      <c r="N19" s="27"/>
    </row>
    <row r="20" spans="3:15" ht="16.5" customHeight="1" x14ac:dyDescent="0.35">
      <c r="C20" s="115" t="s">
        <v>51</v>
      </c>
      <c r="D20" s="109"/>
      <c r="E20" s="109"/>
      <c r="F20" s="109"/>
      <c r="G20" s="109"/>
      <c r="H20" s="109"/>
      <c r="I20" s="110"/>
      <c r="J20" s="64">
        <f>J18*0.05</f>
        <v>1700</v>
      </c>
      <c r="K20" s="18"/>
      <c r="L20" s="27"/>
      <c r="M20" s="27"/>
      <c r="N20" s="27"/>
    </row>
    <row r="21" spans="3:15" ht="16.5" customHeight="1" x14ac:dyDescent="0.35">
      <c r="C21" s="108" t="s">
        <v>24</v>
      </c>
      <c r="D21" s="109"/>
      <c r="E21" s="109"/>
      <c r="F21" s="109"/>
      <c r="G21" s="109"/>
      <c r="H21" s="109"/>
      <c r="I21" s="110"/>
      <c r="J21" s="42">
        <f>SUM(J18:J20)</f>
        <v>39100</v>
      </c>
      <c r="K21" s="31">
        <f>SUM(K16:K20)</f>
        <v>39100</v>
      </c>
      <c r="L21" s="31"/>
      <c r="M21" s="31">
        <f>SUM(M16:M20)</f>
        <v>2619.7000000000003</v>
      </c>
      <c r="N21" s="31"/>
    </row>
    <row r="22" spans="3:15" ht="28.5" customHeight="1" x14ac:dyDescent="0.35">
      <c r="C22" s="17"/>
      <c r="D22" s="19" t="s">
        <v>111</v>
      </c>
      <c r="E22" s="106" t="s">
        <v>72</v>
      </c>
      <c r="F22" s="107"/>
      <c r="G22" s="19"/>
      <c r="H22" s="19"/>
      <c r="I22" s="19"/>
      <c r="J22" s="63"/>
      <c r="K22" s="22"/>
      <c r="L22" s="23"/>
      <c r="M22" s="22"/>
      <c r="N22" s="23"/>
    </row>
    <row r="23" spans="3:15" ht="79.5" customHeight="1" x14ac:dyDescent="0.35">
      <c r="C23" s="24">
        <v>1</v>
      </c>
      <c r="D23" s="63"/>
      <c r="E23" s="118" t="s">
        <v>76</v>
      </c>
      <c r="F23" s="119"/>
      <c r="G23" s="24" t="s">
        <v>73</v>
      </c>
      <c r="H23" s="19">
        <v>1</v>
      </c>
      <c r="I23" s="25">
        <v>1000000</v>
      </c>
      <c r="J23" s="64">
        <f>I23*H23</f>
        <v>1000000</v>
      </c>
      <c r="K23" s="18">
        <f>+J23*1.15/2</f>
        <v>575000</v>
      </c>
      <c r="L23" s="18">
        <f>+J23*1.15/2</f>
        <v>575000</v>
      </c>
      <c r="M23" s="27">
        <f>+K23*0.067</f>
        <v>38525</v>
      </c>
      <c r="N23" s="27">
        <f>+L23*0.025</f>
        <v>14375</v>
      </c>
    </row>
    <row r="24" spans="3:15" ht="16.5" customHeight="1" x14ac:dyDescent="0.35">
      <c r="C24" s="113" t="s">
        <v>74</v>
      </c>
      <c r="D24" s="114"/>
      <c r="E24" s="114"/>
      <c r="F24" s="114"/>
      <c r="G24" s="114"/>
      <c r="H24" s="114"/>
      <c r="I24" s="28"/>
      <c r="J24" s="42">
        <f>SUM(J23:J23)</f>
        <v>1000000</v>
      </c>
      <c r="K24" s="18"/>
      <c r="L24" s="23"/>
      <c r="M24" s="23"/>
      <c r="N24" s="23"/>
    </row>
    <row r="25" spans="3:15" ht="16.5" customHeight="1" x14ac:dyDescent="0.35">
      <c r="C25" s="115" t="s">
        <v>43</v>
      </c>
      <c r="D25" s="109"/>
      <c r="E25" s="109"/>
      <c r="F25" s="109"/>
      <c r="G25" s="109"/>
      <c r="H25" s="109"/>
      <c r="I25" s="110"/>
      <c r="J25" s="64">
        <f>J24*0.1</f>
        <v>100000</v>
      </c>
      <c r="K25" s="18"/>
      <c r="L25" s="27"/>
      <c r="M25" s="27"/>
      <c r="N25" s="27"/>
    </row>
    <row r="26" spans="3:15" ht="16.5" customHeight="1" x14ac:dyDescent="0.35">
      <c r="C26" s="115" t="s">
        <v>51</v>
      </c>
      <c r="D26" s="109"/>
      <c r="E26" s="109"/>
      <c r="F26" s="109"/>
      <c r="G26" s="109"/>
      <c r="H26" s="109"/>
      <c r="I26" s="110"/>
      <c r="J26" s="64">
        <f>J24*0.05</f>
        <v>50000</v>
      </c>
      <c r="K26" s="18"/>
      <c r="L26" s="27"/>
      <c r="M26" s="27"/>
      <c r="N26" s="27"/>
    </row>
    <row r="27" spans="3:15" ht="16.5" customHeight="1" x14ac:dyDescent="0.35">
      <c r="C27" s="108" t="s">
        <v>24</v>
      </c>
      <c r="D27" s="109"/>
      <c r="E27" s="109"/>
      <c r="F27" s="109"/>
      <c r="G27" s="109"/>
      <c r="H27" s="109"/>
      <c r="I27" s="110"/>
      <c r="J27" s="42">
        <f>SUM(J24:J26)</f>
        <v>1150000</v>
      </c>
      <c r="K27" s="31">
        <f>SUM(K23:K23)</f>
        <v>575000</v>
      </c>
      <c r="L27" s="31">
        <f>SUM(L23:L23)</f>
        <v>575000</v>
      </c>
      <c r="M27" s="31">
        <f>SUM(M23:M23)</f>
        <v>38525</v>
      </c>
      <c r="N27" s="31">
        <f>SUM(N23:N26)</f>
        <v>14375</v>
      </c>
      <c r="O27" s="49"/>
    </row>
    <row r="28" spans="3:15" ht="32.25" customHeight="1" x14ac:dyDescent="0.35">
      <c r="C28" s="17"/>
      <c r="D28" s="19" t="s">
        <v>273</v>
      </c>
      <c r="E28" s="106" t="s">
        <v>130</v>
      </c>
      <c r="F28" s="107"/>
      <c r="G28" s="19"/>
      <c r="H28" s="19"/>
      <c r="I28" s="19"/>
      <c r="J28" s="63"/>
      <c r="K28" s="22"/>
      <c r="L28" s="23"/>
      <c r="M28" s="22"/>
      <c r="N28" s="23"/>
    </row>
    <row r="29" spans="3:15" ht="32.25" customHeight="1" x14ac:dyDescent="0.35">
      <c r="C29" s="24">
        <v>1</v>
      </c>
      <c r="D29" s="19"/>
      <c r="E29" s="118" t="s">
        <v>128</v>
      </c>
      <c r="F29" s="119"/>
      <c r="G29" s="24" t="s">
        <v>55</v>
      </c>
      <c r="H29" s="19">
        <v>14</v>
      </c>
      <c r="I29" s="25">
        <v>3000</v>
      </c>
      <c r="J29" s="64">
        <f>I29*H29</f>
        <v>42000</v>
      </c>
      <c r="K29" s="18">
        <f>+J29*1.15</f>
        <v>48299.999999999993</v>
      </c>
      <c r="L29" s="18"/>
      <c r="M29" s="27">
        <f>+K29*0.067</f>
        <v>3236.1</v>
      </c>
      <c r="N29" s="27"/>
    </row>
    <row r="30" spans="3:15" ht="16.5" customHeight="1" x14ac:dyDescent="0.35">
      <c r="C30" s="113" t="s">
        <v>129</v>
      </c>
      <c r="D30" s="114"/>
      <c r="E30" s="114"/>
      <c r="F30" s="114"/>
      <c r="G30" s="114"/>
      <c r="H30" s="114"/>
      <c r="I30" s="28"/>
      <c r="J30" s="42">
        <f>SUM(J29:J29)</f>
        <v>42000</v>
      </c>
      <c r="K30" s="18"/>
      <c r="L30" s="23"/>
      <c r="M30" s="23"/>
      <c r="N30" s="23"/>
    </row>
    <row r="31" spans="3:15" ht="13.5" customHeight="1" x14ac:dyDescent="0.35">
      <c r="C31" s="115" t="s">
        <v>43</v>
      </c>
      <c r="D31" s="109"/>
      <c r="E31" s="109"/>
      <c r="F31" s="109"/>
      <c r="G31" s="109"/>
      <c r="H31" s="109"/>
      <c r="I31" s="110"/>
      <c r="J31" s="64">
        <f>J30*0.1</f>
        <v>4200</v>
      </c>
      <c r="K31" s="18"/>
      <c r="L31" s="27"/>
      <c r="M31" s="27"/>
      <c r="N31" s="27"/>
    </row>
    <row r="32" spans="3:15" ht="13.5" customHeight="1" x14ac:dyDescent="0.35">
      <c r="C32" s="115" t="s">
        <v>51</v>
      </c>
      <c r="D32" s="109"/>
      <c r="E32" s="109"/>
      <c r="F32" s="109"/>
      <c r="G32" s="109"/>
      <c r="H32" s="109"/>
      <c r="I32" s="110"/>
      <c r="J32" s="64">
        <f>J30*0.05</f>
        <v>2100</v>
      </c>
      <c r="K32" s="18"/>
      <c r="L32" s="27"/>
      <c r="M32" s="27"/>
      <c r="N32" s="27"/>
    </row>
    <row r="33" spans="3:15" ht="13.5" customHeight="1" x14ac:dyDescent="0.35">
      <c r="C33" s="108" t="s">
        <v>24</v>
      </c>
      <c r="D33" s="109"/>
      <c r="E33" s="109"/>
      <c r="F33" s="109"/>
      <c r="G33" s="109"/>
      <c r="H33" s="109"/>
      <c r="I33" s="110"/>
      <c r="J33" s="42">
        <f>SUM(J30:J32)</f>
        <v>48300</v>
      </c>
      <c r="K33" s="43">
        <f>SUM(K29:K29)</f>
        <v>48299.999999999993</v>
      </c>
      <c r="L33" s="43"/>
      <c r="M33" s="43">
        <f>SUM(M29:M29)</f>
        <v>3236.1</v>
      </c>
      <c r="N33" s="43"/>
    </row>
    <row r="34" spans="3:15" ht="13.5" customHeight="1" x14ac:dyDescent="0.35">
      <c r="C34" s="108" t="s">
        <v>75</v>
      </c>
      <c r="D34" s="122"/>
      <c r="E34" s="122"/>
      <c r="F34" s="122"/>
      <c r="G34" s="122"/>
      <c r="H34" s="122"/>
      <c r="I34" s="123"/>
      <c r="J34" s="42">
        <f>+J14+J21+J27+J33</f>
        <v>1294900</v>
      </c>
      <c r="K34" s="42">
        <f>+K14+K21+K27+K33</f>
        <v>719900</v>
      </c>
      <c r="L34" s="42">
        <f>+L14+L21+L27+L33</f>
        <v>575000</v>
      </c>
      <c r="M34" s="42">
        <f>+M14+M21+M27+M33</f>
        <v>48233.299999999996</v>
      </c>
      <c r="N34" s="42">
        <f>+N14+N21+N27+N33</f>
        <v>14375</v>
      </c>
      <c r="O34" s="49"/>
    </row>
    <row r="35" spans="3:15" ht="16.5" customHeight="1" x14ac:dyDescent="0.35">
      <c r="C35" s="121" t="s">
        <v>201</v>
      </c>
      <c r="D35" s="120"/>
      <c r="E35" s="120"/>
      <c r="F35" s="120"/>
      <c r="G35" s="120"/>
      <c r="H35" s="120"/>
      <c r="I35" s="120"/>
      <c r="J35" s="120"/>
      <c r="K35" s="42"/>
      <c r="L35" s="42"/>
      <c r="M35" s="42"/>
      <c r="N35" s="42"/>
    </row>
    <row r="36" spans="3:15" ht="16.5" customHeight="1" x14ac:dyDescent="0.35">
      <c r="C36" s="124" t="s">
        <v>77</v>
      </c>
      <c r="D36" s="125"/>
      <c r="E36" s="125"/>
      <c r="F36" s="125"/>
      <c r="G36" s="125"/>
      <c r="H36" s="125"/>
      <c r="I36" s="125"/>
      <c r="J36" s="126"/>
      <c r="K36" s="23"/>
      <c r="L36" s="23"/>
      <c r="M36" s="23"/>
      <c r="N36" s="23"/>
    </row>
    <row r="37" spans="3:15" ht="27.75" customHeight="1" x14ac:dyDescent="0.35">
      <c r="C37" s="17"/>
      <c r="D37" s="19" t="s">
        <v>57</v>
      </c>
      <c r="E37" s="106" t="s">
        <v>239</v>
      </c>
      <c r="F37" s="107"/>
      <c r="G37" s="19"/>
      <c r="H37" s="19"/>
      <c r="I37" s="19"/>
      <c r="J37" s="63"/>
      <c r="K37" s="22"/>
      <c r="L37" s="23"/>
      <c r="M37" s="22"/>
      <c r="N37" s="23"/>
    </row>
    <row r="38" spans="3:15" ht="28.5" customHeight="1" x14ac:dyDescent="0.35">
      <c r="C38" s="24">
        <v>1</v>
      </c>
      <c r="D38" s="19"/>
      <c r="E38" s="118" t="s">
        <v>132</v>
      </c>
      <c r="F38" s="119"/>
      <c r="G38" s="24" t="s">
        <v>73</v>
      </c>
      <c r="H38" s="19">
        <v>2</v>
      </c>
      <c r="I38" s="25">
        <v>2000</v>
      </c>
      <c r="J38" s="64">
        <f>I38*H38</f>
        <v>4000</v>
      </c>
      <c r="K38" s="18">
        <f>+J38*1.15</f>
        <v>4600</v>
      </c>
      <c r="L38" s="18"/>
      <c r="M38" s="27">
        <f>+K38*0.067</f>
        <v>308.20000000000005</v>
      </c>
      <c r="N38" s="27"/>
    </row>
    <row r="39" spans="3:15" ht="28.5" customHeight="1" x14ac:dyDescent="0.35">
      <c r="C39" s="24">
        <v>2</v>
      </c>
      <c r="D39" s="19"/>
      <c r="E39" s="118" t="s">
        <v>263</v>
      </c>
      <c r="F39" s="119"/>
      <c r="G39" s="24" t="s">
        <v>55</v>
      </c>
      <c r="H39" s="19">
        <v>2</v>
      </c>
      <c r="I39" s="25">
        <v>3000</v>
      </c>
      <c r="J39" s="64">
        <f>I39*H39</f>
        <v>6000</v>
      </c>
      <c r="K39" s="18">
        <f>+J39*1.15</f>
        <v>6899.9999999999991</v>
      </c>
      <c r="L39" s="18"/>
      <c r="M39" s="27">
        <f>+K39*0.067</f>
        <v>462.29999999999995</v>
      </c>
      <c r="N39" s="27"/>
    </row>
    <row r="40" spans="3:15" ht="29.25" customHeight="1" x14ac:dyDescent="0.35">
      <c r="C40" s="113" t="s">
        <v>131</v>
      </c>
      <c r="D40" s="114"/>
      <c r="E40" s="114"/>
      <c r="F40" s="114"/>
      <c r="G40" s="114"/>
      <c r="H40" s="114"/>
      <c r="I40" s="28"/>
      <c r="J40" s="42">
        <f>SUM(J38:J39)</f>
        <v>10000</v>
      </c>
      <c r="K40" s="18"/>
      <c r="L40" s="23"/>
      <c r="M40" s="23"/>
      <c r="N40" s="23"/>
    </row>
    <row r="41" spans="3:15" ht="15" customHeight="1" x14ac:dyDescent="0.35">
      <c r="C41" s="115" t="s">
        <v>43</v>
      </c>
      <c r="D41" s="109"/>
      <c r="E41" s="109"/>
      <c r="F41" s="109"/>
      <c r="G41" s="109"/>
      <c r="H41" s="109"/>
      <c r="I41" s="110"/>
      <c r="J41" s="64">
        <f>J40*0.1</f>
        <v>1000</v>
      </c>
      <c r="K41" s="18"/>
      <c r="L41" s="27"/>
      <c r="M41" s="27"/>
      <c r="N41" s="27"/>
    </row>
    <row r="42" spans="3:15" ht="15" customHeight="1" x14ac:dyDescent="0.35">
      <c r="C42" s="115" t="s">
        <v>51</v>
      </c>
      <c r="D42" s="109"/>
      <c r="E42" s="109"/>
      <c r="F42" s="109"/>
      <c r="G42" s="109"/>
      <c r="H42" s="109"/>
      <c r="I42" s="110"/>
      <c r="J42" s="64">
        <f>J40*0.05</f>
        <v>500</v>
      </c>
      <c r="K42" s="18"/>
      <c r="L42" s="27"/>
      <c r="M42" s="27"/>
      <c r="N42" s="27"/>
    </row>
    <row r="43" spans="3:15" ht="15" customHeight="1" x14ac:dyDescent="0.35">
      <c r="C43" s="108" t="s">
        <v>24</v>
      </c>
      <c r="D43" s="109"/>
      <c r="E43" s="109"/>
      <c r="F43" s="109"/>
      <c r="G43" s="109"/>
      <c r="H43" s="109"/>
      <c r="I43" s="110"/>
      <c r="J43" s="42">
        <f>SUM(J40:J42)</f>
        <v>11500</v>
      </c>
      <c r="K43" s="23">
        <f>SUM(K38:K42)</f>
        <v>11500</v>
      </c>
      <c r="L43" s="31"/>
      <c r="M43" s="31">
        <f>SUM(M38:M42)</f>
        <v>770.5</v>
      </c>
      <c r="N43" s="31"/>
    </row>
    <row r="44" spans="3:15" ht="15" customHeight="1" x14ac:dyDescent="0.35">
      <c r="C44" s="108" t="s">
        <v>78</v>
      </c>
      <c r="D44" s="122"/>
      <c r="E44" s="122"/>
      <c r="F44" s="122"/>
      <c r="G44" s="122"/>
      <c r="H44" s="122"/>
      <c r="I44" s="123"/>
      <c r="J44" s="42">
        <f>+J43</f>
        <v>11500</v>
      </c>
      <c r="K44" s="23">
        <f>+K43</f>
        <v>11500</v>
      </c>
      <c r="L44" s="23"/>
      <c r="M44" s="23">
        <f>+M43</f>
        <v>770.5</v>
      </c>
      <c r="N44" s="23"/>
    </row>
    <row r="45" spans="3:15" ht="14.25" customHeight="1" x14ac:dyDescent="0.35">
      <c r="C45" s="108" t="s">
        <v>79</v>
      </c>
      <c r="D45" s="122"/>
      <c r="E45" s="122"/>
      <c r="F45" s="122"/>
      <c r="G45" s="122"/>
      <c r="H45" s="122"/>
      <c r="I45" s="123"/>
      <c r="J45" s="42">
        <f>+J34+J44</f>
        <v>1306400</v>
      </c>
      <c r="K45" s="23">
        <f>+K34+K44</f>
        <v>731400</v>
      </c>
      <c r="L45" s="23">
        <f>+L34+L44</f>
        <v>575000</v>
      </c>
      <c r="M45" s="23">
        <f>+M34+M44</f>
        <v>49003.799999999996</v>
      </c>
      <c r="N45" s="23">
        <f>+N34+N44</f>
        <v>14375</v>
      </c>
      <c r="O45" s="49"/>
    </row>
    <row r="46" spans="3:15" ht="15" customHeight="1" x14ac:dyDescent="0.35">
      <c r="C46" s="121" t="s">
        <v>237</v>
      </c>
      <c r="D46" s="120"/>
      <c r="E46" s="120"/>
      <c r="F46" s="120"/>
      <c r="G46" s="120"/>
      <c r="H46" s="120"/>
      <c r="I46" s="120"/>
      <c r="J46" s="120"/>
      <c r="K46" s="18"/>
      <c r="L46" s="18"/>
      <c r="M46" s="19"/>
      <c r="N46" s="19"/>
    </row>
    <row r="47" spans="3:15" ht="29.25" customHeight="1" x14ac:dyDescent="0.35">
      <c r="C47" s="24"/>
      <c r="D47" s="19" t="s">
        <v>60</v>
      </c>
      <c r="E47" s="106" t="s">
        <v>83</v>
      </c>
      <c r="F47" s="107"/>
      <c r="G47" s="19"/>
      <c r="H47" s="19"/>
      <c r="I47" s="25"/>
      <c r="J47" s="66"/>
      <c r="K47" s="18"/>
      <c r="L47" s="18"/>
      <c r="M47" s="27"/>
      <c r="N47" s="27"/>
    </row>
    <row r="48" spans="3:15" ht="27.75" customHeight="1" x14ac:dyDescent="0.35">
      <c r="C48" s="57">
        <v>1</v>
      </c>
      <c r="D48" s="58"/>
      <c r="E48" s="153" t="s">
        <v>84</v>
      </c>
      <c r="F48" s="154"/>
      <c r="G48" s="58" t="s">
        <v>4</v>
      </c>
      <c r="H48" s="58">
        <v>540</v>
      </c>
      <c r="I48" s="59">
        <v>200</v>
      </c>
      <c r="J48" s="67">
        <f>I48*H48</f>
        <v>108000</v>
      </c>
      <c r="K48" s="59"/>
      <c r="L48" s="59">
        <f>+J48*1.15</f>
        <v>124199.99999999999</v>
      </c>
      <c r="M48" s="60"/>
      <c r="N48" s="60">
        <f>+L48*0.025</f>
        <v>3105</v>
      </c>
    </row>
    <row r="49" spans="3:15" ht="27.75" customHeight="1" x14ac:dyDescent="0.35">
      <c r="C49" s="57">
        <f>1+C48</f>
        <v>2</v>
      </c>
      <c r="D49" s="58"/>
      <c r="E49" s="153" t="s">
        <v>54</v>
      </c>
      <c r="F49" s="154"/>
      <c r="G49" s="58" t="s">
        <v>3</v>
      </c>
      <c r="H49" s="58">
        <v>6</v>
      </c>
      <c r="I49" s="59">
        <v>500</v>
      </c>
      <c r="J49" s="67">
        <f>I49*H49</f>
        <v>3000</v>
      </c>
      <c r="K49" s="61"/>
      <c r="L49" s="59">
        <f>+J49*1.15</f>
        <v>3449.9999999999995</v>
      </c>
      <c r="M49" s="62"/>
      <c r="N49" s="62">
        <f>+L49*0.025</f>
        <v>86.25</v>
      </c>
    </row>
    <row r="50" spans="3:15" ht="15" customHeight="1" x14ac:dyDescent="0.35">
      <c r="C50" s="113" t="s">
        <v>261</v>
      </c>
      <c r="D50" s="114"/>
      <c r="E50" s="114"/>
      <c r="F50" s="114"/>
      <c r="G50" s="114"/>
      <c r="H50" s="114"/>
      <c r="I50" s="28"/>
      <c r="J50" s="42">
        <f>SUM(J48:J49)</f>
        <v>111000</v>
      </c>
      <c r="K50" s="18"/>
      <c r="L50" s="18"/>
      <c r="M50" s="27"/>
      <c r="N50" s="27"/>
    </row>
    <row r="51" spans="3:15" ht="16.5" customHeight="1" x14ac:dyDescent="0.35">
      <c r="C51" s="115" t="s">
        <v>43</v>
      </c>
      <c r="D51" s="109"/>
      <c r="E51" s="109"/>
      <c r="F51" s="109"/>
      <c r="G51" s="109"/>
      <c r="H51" s="109"/>
      <c r="I51" s="110"/>
      <c r="J51" s="64">
        <f>J50*0.1</f>
        <v>11100</v>
      </c>
      <c r="K51" s="18"/>
      <c r="L51" s="18"/>
      <c r="M51" s="27"/>
      <c r="N51" s="27"/>
    </row>
    <row r="52" spans="3:15" ht="13.5" customHeight="1" x14ac:dyDescent="0.35">
      <c r="C52" s="115" t="s">
        <v>51</v>
      </c>
      <c r="D52" s="109"/>
      <c r="E52" s="109"/>
      <c r="F52" s="109"/>
      <c r="G52" s="109"/>
      <c r="H52" s="109"/>
      <c r="I52" s="110"/>
      <c r="J52" s="64">
        <f>J50*0.05</f>
        <v>5550</v>
      </c>
      <c r="K52" s="18"/>
      <c r="L52" s="18"/>
      <c r="M52" s="27"/>
      <c r="N52" s="27"/>
    </row>
    <row r="53" spans="3:15" ht="14.25" customHeight="1" x14ac:dyDescent="0.35">
      <c r="C53" s="108" t="s">
        <v>24</v>
      </c>
      <c r="D53" s="109"/>
      <c r="E53" s="109"/>
      <c r="F53" s="109"/>
      <c r="G53" s="109"/>
      <c r="H53" s="109"/>
      <c r="I53" s="110"/>
      <c r="J53" s="42">
        <f>SUM(J50:J52)</f>
        <v>127650</v>
      </c>
      <c r="K53" s="23"/>
      <c r="L53" s="23">
        <f>SUM(L48:L52)</f>
        <v>127649.99999999999</v>
      </c>
      <c r="M53" s="23"/>
      <c r="N53" s="23">
        <f>SUM(N48:N52)</f>
        <v>3191.25</v>
      </c>
      <c r="O53" s="49"/>
    </row>
    <row r="54" spans="3:15" ht="14.25" customHeight="1" x14ac:dyDescent="0.35">
      <c r="C54" s="108" t="s">
        <v>85</v>
      </c>
      <c r="D54" s="109"/>
      <c r="E54" s="109"/>
      <c r="F54" s="109"/>
      <c r="G54" s="109"/>
      <c r="H54" s="109"/>
      <c r="I54" s="110"/>
      <c r="J54" s="42">
        <f>++J53</f>
        <v>127650</v>
      </c>
      <c r="K54" s="23"/>
      <c r="L54" s="23">
        <f t="shared" ref="L54:N54" si="0">++L53</f>
        <v>127649.99999999999</v>
      </c>
      <c r="M54" s="23"/>
      <c r="N54" s="23">
        <f t="shared" si="0"/>
        <v>3191.25</v>
      </c>
    </row>
    <row r="55" spans="3:15" ht="14.25" customHeight="1" x14ac:dyDescent="0.35">
      <c r="C55" s="121" t="s">
        <v>86</v>
      </c>
      <c r="D55" s="120"/>
      <c r="E55" s="120"/>
      <c r="F55" s="120"/>
      <c r="G55" s="120"/>
      <c r="H55" s="120"/>
      <c r="I55" s="120"/>
      <c r="J55" s="120"/>
      <c r="K55" s="23"/>
      <c r="L55" s="23"/>
      <c r="M55" s="23"/>
      <c r="N55" s="23"/>
    </row>
    <row r="56" spans="3:15" ht="14.25" customHeight="1" x14ac:dyDescent="0.35">
      <c r="C56" s="39"/>
      <c r="D56" s="19" t="s">
        <v>93</v>
      </c>
      <c r="E56" s="106" t="s">
        <v>88</v>
      </c>
      <c r="F56" s="107"/>
      <c r="G56" s="19"/>
      <c r="H56" s="63"/>
      <c r="I56" s="19"/>
      <c r="J56" s="68"/>
      <c r="K56" s="16"/>
      <c r="L56" s="16"/>
      <c r="M56" s="16"/>
      <c r="N56" s="16"/>
    </row>
    <row r="57" spans="3:15" ht="14.25" customHeight="1" x14ac:dyDescent="0.35">
      <c r="C57" s="39">
        <v>1</v>
      </c>
      <c r="D57" s="63"/>
      <c r="E57" s="118" t="s">
        <v>89</v>
      </c>
      <c r="F57" s="119"/>
      <c r="G57" s="19" t="s">
        <v>4</v>
      </c>
      <c r="H57" s="63">
        <v>420</v>
      </c>
      <c r="I57" s="25">
        <v>100</v>
      </c>
      <c r="J57" s="64">
        <f>I57*H57</f>
        <v>42000</v>
      </c>
      <c r="K57" s="40"/>
      <c r="L57" s="59">
        <f>+J57*1.15</f>
        <v>48299.999999999993</v>
      </c>
      <c r="M57" s="41"/>
      <c r="N57" s="41">
        <f>+L57*0.025</f>
        <v>1207.4999999999998</v>
      </c>
    </row>
    <row r="58" spans="3:15" ht="29.25" customHeight="1" x14ac:dyDescent="0.35">
      <c r="C58" s="39"/>
      <c r="D58" s="19"/>
      <c r="E58" s="118" t="s">
        <v>52</v>
      </c>
      <c r="F58" s="119"/>
      <c r="G58" s="19" t="s">
        <v>3</v>
      </c>
      <c r="H58" s="19">
        <v>12</v>
      </c>
      <c r="I58" s="25">
        <v>500</v>
      </c>
      <c r="J58" s="64">
        <f>I58*H58</f>
        <v>6000</v>
      </c>
      <c r="K58" s="40"/>
      <c r="L58" s="59">
        <f>+J58*1.15</f>
        <v>6899.9999999999991</v>
      </c>
      <c r="M58" s="41"/>
      <c r="N58" s="41">
        <f>+L58*0.025</f>
        <v>172.5</v>
      </c>
    </row>
    <row r="59" spans="3:15" ht="14.25" customHeight="1" x14ac:dyDescent="0.35">
      <c r="C59" s="113" t="s">
        <v>90</v>
      </c>
      <c r="D59" s="114"/>
      <c r="E59" s="114"/>
      <c r="F59" s="114"/>
      <c r="G59" s="114"/>
      <c r="H59" s="114"/>
      <c r="I59" s="28"/>
      <c r="J59" s="42">
        <f>SUM(J57:J58)</f>
        <v>48000</v>
      </c>
      <c r="K59" s="40"/>
      <c r="L59" s="42"/>
      <c r="M59" s="42"/>
      <c r="N59" s="42"/>
    </row>
    <row r="60" spans="3:15" ht="14.25" customHeight="1" x14ac:dyDescent="0.35">
      <c r="C60" s="115" t="s">
        <v>43</v>
      </c>
      <c r="D60" s="109"/>
      <c r="E60" s="109"/>
      <c r="F60" s="109"/>
      <c r="G60" s="109"/>
      <c r="H60" s="109"/>
      <c r="I60" s="110"/>
      <c r="J60" s="64">
        <f>J59*0.1</f>
        <v>4800</v>
      </c>
      <c r="K60" s="40"/>
      <c r="L60" s="41"/>
      <c r="M60" s="41"/>
      <c r="N60" s="41"/>
    </row>
    <row r="61" spans="3:15" ht="14.25" customHeight="1" x14ac:dyDescent="0.35">
      <c r="C61" s="115" t="s">
        <v>87</v>
      </c>
      <c r="D61" s="109"/>
      <c r="E61" s="109"/>
      <c r="F61" s="109"/>
      <c r="G61" s="109"/>
      <c r="H61" s="109"/>
      <c r="I61" s="110"/>
      <c r="J61" s="64">
        <f>J59*0.05</f>
        <v>2400</v>
      </c>
      <c r="K61" s="40"/>
      <c r="L61" s="41"/>
      <c r="M61" s="41"/>
      <c r="N61" s="41"/>
    </row>
    <row r="62" spans="3:15" ht="14.25" customHeight="1" x14ac:dyDescent="0.35">
      <c r="C62" s="108" t="s">
        <v>24</v>
      </c>
      <c r="D62" s="109"/>
      <c r="E62" s="109"/>
      <c r="F62" s="109"/>
      <c r="G62" s="109"/>
      <c r="H62" s="109"/>
      <c r="I62" s="110"/>
      <c r="J62" s="42">
        <f>SUM(J59:J61)</f>
        <v>55200</v>
      </c>
      <c r="K62" s="40"/>
      <c r="L62" s="43">
        <f>SUM(L57:L61)</f>
        <v>55199.999999999993</v>
      </c>
      <c r="M62" s="41"/>
      <c r="N62" s="43">
        <f>SUM(N57:N61)</f>
        <v>1379.9999999999998</v>
      </c>
    </row>
    <row r="63" spans="3:15" ht="29.25" customHeight="1" x14ac:dyDescent="0.35">
      <c r="C63" s="17"/>
      <c r="D63" s="19" t="s">
        <v>225</v>
      </c>
      <c r="E63" s="106" t="s">
        <v>134</v>
      </c>
      <c r="F63" s="107"/>
      <c r="G63" s="19"/>
      <c r="H63" s="19"/>
      <c r="I63" s="19"/>
      <c r="J63" s="63"/>
      <c r="K63" s="22"/>
      <c r="L63" s="23"/>
      <c r="M63" s="22"/>
      <c r="N63" s="23"/>
    </row>
    <row r="64" spans="3:15" ht="27" customHeight="1" x14ac:dyDescent="0.35">
      <c r="C64" s="24">
        <v>1</v>
      </c>
      <c r="D64" s="19"/>
      <c r="E64" s="118" t="s">
        <v>133</v>
      </c>
      <c r="F64" s="119"/>
      <c r="G64" s="24" t="s">
        <v>55</v>
      </c>
      <c r="H64" s="19">
        <v>3</v>
      </c>
      <c r="I64" s="25">
        <v>3000</v>
      </c>
      <c r="J64" s="64">
        <f>I64*H64</f>
        <v>9000</v>
      </c>
      <c r="K64" s="18">
        <f>+J64*1.15</f>
        <v>10350</v>
      </c>
      <c r="L64" s="18"/>
      <c r="M64" s="27">
        <f>+K64*0.067</f>
        <v>693.45</v>
      </c>
      <c r="N64" s="27"/>
    </row>
    <row r="65" spans="3:15" ht="13.5" customHeight="1" x14ac:dyDescent="0.35">
      <c r="C65" s="113" t="s">
        <v>135</v>
      </c>
      <c r="D65" s="114"/>
      <c r="E65" s="114"/>
      <c r="F65" s="114"/>
      <c r="G65" s="114"/>
      <c r="H65" s="114"/>
      <c r="I65" s="28"/>
      <c r="J65" s="42">
        <f>SUM(J64:J64)</f>
        <v>9000</v>
      </c>
      <c r="K65" s="18"/>
      <c r="L65" s="23"/>
      <c r="M65" s="23"/>
      <c r="N65" s="23"/>
    </row>
    <row r="66" spans="3:15" ht="14.25" customHeight="1" x14ac:dyDescent="0.35">
      <c r="C66" s="115" t="s">
        <v>43</v>
      </c>
      <c r="D66" s="109"/>
      <c r="E66" s="109"/>
      <c r="F66" s="109"/>
      <c r="G66" s="109"/>
      <c r="H66" s="109"/>
      <c r="I66" s="110"/>
      <c r="J66" s="64">
        <f>J65*0.1</f>
        <v>900</v>
      </c>
      <c r="K66" s="18"/>
      <c r="L66" s="27"/>
      <c r="M66" s="27"/>
      <c r="N66" s="27"/>
    </row>
    <row r="67" spans="3:15" ht="14.25" customHeight="1" x14ac:dyDescent="0.35">
      <c r="C67" s="115" t="s">
        <v>51</v>
      </c>
      <c r="D67" s="109"/>
      <c r="E67" s="109"/>
      <c r="F67" s="109"/>
      <c r="G67" s="109"/>
      <c r="H67" s="109"/>
      <c r="I67" s="110"/>
      <c r="J67" s="64">
        <f>J65*0.05</f>
        <v>450</v>
      </c>
      <c r="K67" s="18"/>
      <c r="L67" s="27"/>
      <c r="M67" s="27"/>
      <c r="N67" s="27"/>
    </row>
    <row r="68" spans="3:15" ht="14.25" customHeight="1" x14ac:dyDescent="0.35">
      <c r="C68" s="108" t="s">
        <v>24</v>
      </c>
      <c r="D68" s="109"/>
      <c r="E68" s="109"/>
      <c r="F68" s="109"/>
      <c r="G68" s="109"/>
      <c r="H68" s="109"/>
      <c r="I68" s="110"/>
      <c r="J68" s="42">
        <f>SUM(J65:J67)</f>
        <v>10350</v>
      </c>
      <c r="K68" s="23">
        <f>SUM(K64:K67)</f>
        <v>10350</v>
      </c>
      <c r="L68" s="31"/>
      <c r="M68" s="31">
        <f>SUM(M64:M67)</f>
        <v>693.45</v>
      </c>
      <c r="N68" s="31"/>
    </row>
    <row r="69" spans="3:15" ht="14.25" customHeight="1" x14ac:dyDescent="0.35">
      <c r="C69" s="108" t="s">
        <v>100</v>
      </c>
      <c r="D69" s="151"/>
      <c r="E69" s="151"/>
      <c r="F69" s="151"/>
      <c r="G69" s="151"/>
      <c r="H69" s="151"/>
      <c r="I69" s="152"/>
      <c r="J69" s="42">
        <f>+J62+J68</f>
        <v>65550</v>
      </c>
      <c r="K69" s="23">
        <f>+K62+K68</f>
        <v>10350</v>
      </c>
      <c r="L69" s="23">
        <f>+L62+L68</f>
        <v>55199.999999999993</v>
      </c>
      <c r="M69" s="23">
        <f>+M62+M68</f>
        <v>693.45</v>
      </c>
      <c r="N69" s="23">
        <f>+N62+N68</f>
        <v>1379.9999999999998</v>
      </c>
      <c r="O69" s="49"/>
    </row>
    <row r="70" spans="3:15" ht="14.25" customHeight="1" x14ac:dyDescent="0.35">
      <c r="C70" s="121" t="s">
        <v>96</v>
      </c>
      <c r="D70" s="120"/>
      <c r="E70" s="120"/>
      <c r="F70" s="120"/>
      <c r="G70" s="120"/>
      <c r="H70" s="120"/>
      <c r="I70" s="120"/>
      <c r="J70" s="120"/>
      <c r="K70" s="23"/>
      <c r="L70" s="23"/>
      <c r="M70" s="23"/>
      <c r="N70" s="23"/>
    </row>
    <row r="71" spans="3:15" ht="28.5" customHeight="1" x14ac:dyDescent="0.35">
      <c r="C71" s="39"/>
      <c r="D71" s="19" t="s">
        <v>249</v>
      </c>
      <c r="E71" s="106" t="s">
        <v>262</v>
      </c>
      <c r="F71" s="107"/>
      <c r="G71" s="19"/>
      <c r="H71" s="19"/>
      <c r="I71" s="25"/>
      <c r="J71" s="69"/>
      <c r="K71" s="16"/>
      <c r="L71" s="16"/>
      <c r="M71" s="16"/>
      <c r="N71" s="16"/>
    </row>
    <row r="72" spans="3:15" ht="26.25" customHeight="1" x14ac:dyDescent="0.35">
      <c r="C72" s="39">
        <v>1</v>
      </c>
      <c r="D72" s="19"/>
      <c r="E72" s="111" t="s">
        <v>207</v>
      </c>
      <c r="F72" s="112"/>
      <c r="G72" s="19" t="s">
        <v>4</v>
      </c>
      <c r="H72" s="19">
        <v>500</v>
      </c>
      <c r="I72" s="25">
        <v>100</v>
      </c>
      <c r="J72" s="64">
        <f>I72*H72</f>
        <v>50000</v>
      </c>
      <c r="K72" s="40"/>
      <c r="L72" s="59">
        <f>+J72*1.15</f>
        <v>57499.999999999993</v>
      </c>
      <c r="M72" s="41"/>
      <c r="N72" s="41">
        <f>+L72*0.025</f>
        <v>1437.5</v>
      </c>
    </row>
    <row r="73" spans="3:15" ht="27.75" customHeight="1" x14ac:dyDescent="0.35">
      <c r="C73" s="39">
        <v>2</v>
      </c>
      <c r="D73" s="19"/>
      <c r="E73" s="111" t="s">
        <v>91</v>
      </c>
      <c r="F73" s="112"/>
      <c r="G73" s="19" t="s">
        <v>5</v>
      </c>
      <c r="H73" s="19">
        <v>6</v>
      </c>
      <c r="I73" s="25">
        <v>500</v>
      </c>
      <c r="J73" s="64">
        <f>I73*H73</f>
        <v>3000</v>
      </c>
      <c r="K73" s="40"/>
      <c r="L73" s="59">
        <f>+J73*1.15</f>
        <v>3449.9999999999995</v>
      </c>
      <c r="M73" s="41"/>
      <c r="N73" s="41">
        <f>+L73*0.025</f>
        <v>86.25</v>
      </c>
    </row>
    <row r="74" spans="3:15" ht="14.25" customHeight="1" x14ac:dyDescent="0.35">
      <c r="C74" s="113" t="s">
        <v>92</v>
      </c>
      <c r="D74" s="114"/>
      <c r="E74" s="114"/>
      <c r="F74" s="114"/>
      <c r="G74" s="114"/>
      <c r="H74" s="114"/>
      <c r="I74" s="28"/>
      <c r="J74" s="42">
        <f>SUM(J72:J73)</f>
        <v>53000</v>
      </c>
      <c r="K74" s="40"/>
      <c r="L74" s="40"/>
      <c r="M74" s="40"/>
      <c r="N74" s="41"/>
    </row>
    <row r="75" spans="3:15" ht="14.25" customHeight="1" x14ac:dyDescent="0.35">
      <c r="C75" s="115" t="s">
        <v>43</v>
      </c>
      <c r="D75" s="109"/>
      <c r="E75" s="109"/>
      <c r="F75" s="109"/>
      <c r="G75" s="109"/>
      <c r="H75" s="109"/>
      <c r="I75" s="110"/>
      <c r="J75" s="64">
        <f>J74*0.1</f>
        <v>5300</v>
      </c>
      <c r="K75" s="40"/>
      <c r="L75" s="40"/>
      <c r="M75" s="40"/>
      <c r="N75" s="40"/>
    </row>
    <row r="76" spans="3:15" ht="14.25" customHeight="1" x14ac:dyDescent="0.35">
      <c r="C76" s="115" t="s">
        <v>87</v>
      </c>
      <c r="D76" s="109"/>
      <c r="E76" s="109"/>
      <c r="F76" s="109"/>
      <c r="G76" s="109"/>
      <c r="H76" s="109"/>
      <c r="I76" s="110"/>
      <c r="J76" s="64">
        <f>J74*0.05</f>
        <v>2650</v>
      </c>
      <c r="K76" s="40"/>
      <c r="L76" s="40"/>
      <c r="M76" s="40"/>
      <c r="N76" s="40"/>
    </row>
    <row r="77" spans="3:15" ht="14.25" customHeight="1" x14ac:dyDescent="0.35">
      <c r="C77" s="108" t="s">
        <v>24</v>
      </c>
      <c r="D77" s="109"/>
      <c r="E77" s="109"/>
      <c r="F77" s="109"/>
      <c r="G77" s="109"/>
      <c r="H77" s="109"/>
      <c r="I77" s="110"/>
      <c r="J77" s="42">
        <f>SUM(J74:J76)</f>
        <v>60950</v>
      </c>
      <c r="K77" s="44"/>
      <c r="L77" s="44">
        <f>SUM(L72:L76)</f>
        <v>60949.999999999993</v>
      </c>
      <c r="M77" s="44"/>
      <c r="N77" s="43">
        <f>SUM(N72:N76)</f>
        <v>1523.75</v>
      </c>
    </row>
    <row r="78" spans="3:15" ht="14.25" customHeight="1" x14ac:dyDescent="0.35">
      <c r="C78" s="108" t="s">
        <v>101</v>
      </c>
      <c r="D78" s="109"/>
      <c r="E78" s="109"/>
      <c r="F78" s="109"/>
      <c r="G78" s="109"/>
      <c r="H78" s="109"/>
      <c r="I78" s="110"/>
      <c r="J78" s="42">
        <f>+J77</f>
        <v>60950</v>
      </c>
      <c r="K78" s="23"/>
      <c r="L78" s="23">
        <f t="shared" ref="L78:N78" si="1">+L77</f>
        <v>60949.999999999993</v>
      </c>
      <c r="M78" s="23"/>
      <c r="N78" s="23">
        <f t="shared" si="1"/>
        <v>1523.75</v>
      </c>
    </row>
    <row r="79" spans="3:15" ht="14.25" customHeight="1" x14ac:dyDescent="0.35">
      <c r="C79" s="121" t="s">
        <v>102</v>
      </c>
      <c r="D79" s="120"/>
      <c r="E79" s="120"/>
      <c r="F79" s="120"/>
      <c r="G79" s="120"/>
      <c r="H79" s="120"/>
      <c r="I79" s="120"/>
      <c r="J79" s="120"/>
      <c r="K79" s="23"/>
      <c r="L79" s="23"/>
      <c r="M79" s="23"/>
      <c r="N79" s="23"/>
    </row>
    <row r="80" spans="3:15" ht="29.25" customHeight="1" x14ac:dyDescent="0.35">
      <c r="C80" s="17"/>
      <c r="D80" s="19" t="s">
        <v>226</v>
      </c>
      <c r="E80" s="106" t="s">
        <v>227</v>
      </c>
      <c r="F80" s="107"/>
      <c r="G80" s="19"/>
      <c r="H80" s="19"/>
      <c r="I80" s="19"/>
      <c r="J80" s="63"/>
      <c r="K80" s="22"/>
      <c r="L80" s="23"/>
      <c r="M80" s="22"/>
      <c r="N80" s="23"/>
    </row>
    <row r="81" spans="3:14" ht="39" customHeight="1" x14ac:dyDescent="0.35">
      <c r="C81" s="24">
        <v>1</v>
      </c>
      <c r="D81" s="19"/>
      <c r="E81" s="118" t="s">
        <v>228</v>
      </c>
      <c r="F81" s="119"/>
      <c r="G81" s="24" t="s">
        <v>73</v>
      </c>
      <c r="H81" s="19">
        <v>1</v>
      </c>
      <c r="I81" s="25">
        <v>50000</v>
      </c>
      <c r="J81" s="64">
        <f>I81*H81</f>
        <v>50000</v>
      </c>
      <c r="K81" s="18">
        <f>+J81*1.15</f>
        <v>57499.999999999993</v>
      </c>
      <c r="L81" s="18"/>
      <c r="M81" s="27">
        <f>+K81*0.067</f>
        <v>3852.4999999999995</v>
      </c>
      <c r="N81" s="27"/>
    </row>
    <row r="82" spans="3:14" ht="14.25" customHeight="1" x14ac:dyDescent="0.35">
      <c r="C82" s="113" t="s">
        <v>138</v>
      </c>
      <c r="D82" s="114"/>
      <c r="E82" s="114"/>
      <c r="F82" s="114"/>
      <c r="G82" s="114"/>
      <c r="H82" s="114"/>
      <c r="I82" s="28"/>
      <c r="J82" s="42">
        <f>SUM(J81:J81)</f>
        <v>50000</v>
      </c>
      <c r="K82" s="18"/>
      <c r="L82" s="23"/>
      <c r="M82" s="23"/>
      <c r="N82" s="23"/>
    </row>
    <row r="83" spans="3:14" ht="14.25" customHeight="1" x14ac:dyDescent="0.35">
      <c r="C83" s="115" t="s">
        <v>43</v>
      </c>
      <c r="D83" s="109"/>
      <c r="E83" s="109"/>
      <c r="F83" s="109"/>
      <c r="G83" s="109"/>
      <c r="H83" s="109"/>
      <c r="I83" s="110"/>
      <c r="J83" s="64">
        <f>J82*0.1</f>
        <v>5000</v>
      </c>
      <c r="K83" s="18"/>
      <c r="L83" s="27"/>
      <c r="M83" s="27"/>
      <c r="N83" s="27"/>
    </row>
    <row r="84" spans="3:14" ht="14.25" customHeight="1" x14ac:dyDescent="0.35">
      <c r="C84" s="115" t="s">
        <v>51</v>
      </c>
      <c r="D84" s="109"/>
      <c r="E84" s="109"/>
      <c r="F84" s="109"/>
      <c r="G84" s="109"/>
      <c r="H84" s="109"/>
      <c r="I84" s="110"/>
      <c r="J84" s="64">
        <f>J82*0.05</f>
        <v>2500</v>
      </c>
      <c r="K84" s="18"/>
      <c r="L84" s="27"/>
      <c r="M84" s="27"/>
      <c r="N84" s="27"/>
    </row>
    <row r="85" spans="3:14" ht="14.25" customHeight="1" x14ac:dyDescent="0.35">
      <c r="C85" s="108" t="s">
        <v>24</v>
      </c>
      <c r="D85" s="109"/>
      <c r="E85" s="109"/>
      <c r="F85" s="109"/>
      <c r="G85" s="109"/>
      <c r="H85" s="109"/>
      <c r="I85" s="110"/>
      <c r="J85" s="42">
        <f>SUM(J82:J84)</f>
        <v>57500</v>
      </c>
      <c r="K85" s="23">
        <f>SUM(K81:K84)</f>
        <v>57499.999999999993</v>
      </c>
      <c r="L85" s="31"/>
      <c r="M85" s="31">
        <f>SUM(M81:M84)</f>
        <v>3852.4999999999995</v>
      </c>
      <c r="N85" s="31"/>
    </row>
    <row r="86" spans="3:14" ht="14.25" customHeight="1" x14ac:dyDescent="0.35">
      <c r="C86" s="108" t="s">
        <v>104</v>
      </c>
      <c r="D86" s="122"/>
      <c r="E86" s="122"/>
      <c r="F86" s="122"/>
      <c r="G86" s="122"/>
      <c r="H86" s="122"/>
      <c r="I86" s="146"/>
      <c r="J86" s="42">
        <f>+J85</f>
        <v>57500</v>
      </c>
      <c r="K86" s="23">
        <f t="shared" ref="K86:M86" si="2">+K85</f>
        <v>57499.999999999993</v>
      </c>
      <c r="L86" s="23"/>
      <c r="M86" s="23">
        <f t="shared" si="2"/>
        <v>3852.4999999999995</v>
      </c>
      <c r="N86" s="23"/>
    </row>
    <row r="87" spans="3:14" ht="14.25" customHeight="1" x14ac:dyDescent="0.35">
      <c r="C87" s="121" t="s">
        <v>222</v>
      </c>
      <c r="D87" s="120"/>
      <c r="E87" s="120"/>
      <c r="F87" s="120"/>
      <c r="G87" s="120"/>
      <c r="H87" s="120"/>
      <c r="I87" s="120"/>
      <c r="J87" s="120"/>
      <c r="K87" s="23"/>
      <c r="L87" s="23"/>
      <c r="M87" s="23"/>
      <c r="N87" s="23"/>
    </row>
    <row r="88" spans="3:14" ht="14.25" customHeight="1" x14ac:dyDescent="0.35">
      <c r="C88" s="39"/>
      <c r="D88" s="19" t="s">
        <v>217</v>
      </c>
      <c r="E88" s="106" t="s">
        <v>218</v>
      </c>
      <c r="F88" s="107"/>
      <c r="G88" s="19"/>
      <c r="H88" s="19"/>
      <c r="I88" s="19"/>
      <c r="J88" s="68"/>
      <c r="K88" s="16"/>
      <c r="L88" s="16"/>
      <c r="M88" s="16"/>
      <c r="N88" s="16"/>
    </row>
    <row r="89" spans="3:14" ht="29.15" customHeight="1" x14ac:dyDescent="0.35">
      <c r="C89" s="39">
        <v>1</v>
      </c>
      <c r="D89" s="63"/>
      <c r="E89" s="111" t="s">
        <v>219</v>
      </c>
      <c r="F89" s="112"/>
      <c r="G89" s="19" t="s">
        <v>220</v>
      </c>
      <c r="H89" s="19">
        <v>1</v>
      </c>
      <c r="I89" s="25">
        <v>55000</v>
      </c>
      <c r="J89" s="64">
        <f>I89*H89</f>
        <v>55000</v>
      </c>
      <c r="K89" s="18">
        <f>+J89*1.15</f>
        <v>63249.999999999993</v>
      </c>
      <c r="L89" s="41"/>
      <c r="M89" s="41">
        <f>+K89*0.025</f>
        <v>1581.25</v>
      </c>
      <c r="N89" s="14"/>
    </row>
    <row r="90" spans="3:14" ht="15.75" customHeight="1" x14ac:dyDescent="0.35">
      <c r="C90" s="113" t="s">
        <v>221</v>
      </c>
      <c r="D90" s="114"/>
      <c r="E90" s="114"/>
      <c r="F90" s="114"/>
      <c r="G90" s="114"/>
      <c r="H90" s="114"/>
      <c r="I90" s="28"/>
      <c r="J90" s="42">
        <f>SUM(J89:J89)</f>
        <v>55000</v>
      </c>
      <c r="K90" s="40"/>
      <c r="L90" s="42"/>
      <c r="M90" s="42"/>
      <c r="N90" s="42"/>
    </row>
    <row r="91" spans="3:14" ht="14.25" customHeight="1" x14ac:dyDescent="0.35">
      <c r="C91" s="115" t="s">
        <v>43</v>
      </c>
      <c r="D91" s="109"/>
      <c r="E91" s="109"/>
      <c r="F91" s="109"/>
      <c r="G91" s="109"/>
      <c r="H91" s="109"/>
      <c r="I91" s="110"/>
      <c r="J91" s="64">
        <f>J90*0.1</f>
        <v>5500</v>
      </c>
      <c r="K91" s="40"/>
      <c r="L91" s="41"/>
      <c r="M91" s="41"/>
      <c r="N91" s="41"/>
    </row>
    <row r="92" spans="3:14" ht="14.25" customHeight="1" x14ac:dyDescent="0.35">
      <c r="C92" s="115" t="s">
        <v>87</v>
      </c>
      <c r="D92" s="109"/>
      <c r="E92" s="109"/>
      <c r="F92" s="109"/>
      <c r="G92" s="109"/>
      <c r="H92" s="109"/>
      <c r="I92" s="110"/>
      <c r="J92" s="64">
        <f>J90*0.05</f>
        <v>2750</v>
      </c>
      <c r="K92" s="40"/>
      <c r="L92" s="41"/>
      <c r="M92" s="41"/>
      <c r="N92" s="41"/>
    </row>
    <row r="93" spans="3:14" ht="14.25" customHeight="1" x14ac:dyDescent="0.35">
      <c r="C93" s="108" t="s">
        <v>24</v>
      </c>
      <c r="D93" s="109"/>
      <c r="E93" s="109"/>
      <c r="F93" s="109"/>
      <c r="G93" s="109"/>
      <c r="H93" s="109"/>
      <c r="I93" s="110"/>
      <c r="J93" s="42">
        <f>SUM(J90:J92)</f>
        <v>63250</v>
      </c>
      <c r="K93" s="44">
        <f>SUM(K89:K92)</f>
        <v>63249.999999999993</v>
      </c>
      <c r="L93" s="43"/>
      <c r="M93" s="43">
        <f>SUM(M89:M92)</f>
        <v>1581.25</v>
      </c>
      <c r="N93" s="43"/>
    </row>
    <row r="94" spans="3:14" ht="29.25" customHeight="1" x14ac:dyDescent="0.35">
      <c r="C94" s="17"/>
      <c r="D94" s="19" t="s">
        <v>233</v>
      </c>
      <c r="E94" s="106" t="s">
        <v>234</v>
      </c>
      <c r="F94" s="107"/>
      <c r="G94" s="19"/>
      <c r="H94" s="19"/>
      <c r="I94" s="19"/>
      <c r="J94" s="63"/>
      <c r="K94" s="22"/>
      <c r="L94" s="23"/>
      <c r="M94" s="22"/>
      <c r="N94" s="23"/>
    </row>
    <row r="95" spans="3:14" ht="29.25" customHeight="1" x14ac:dyDescent="0.35">
      <c r="C95" s="24">
        <v>1</v>
      </c>
      <c r="D95" s="63"/>
      <c r="E95" s="118" t="s">
        <v>235</v>
      </c>
      <c r="F95" s="119"/>
      <c r="G95" s="24" t="s">
        <v>55</v>
      </c>
      <c r="H95" s="19">
        <v>4</v>
      </c>
      <c r="I95" s="25">
        <v>3000</v>
      </c>
      <c r="J95" s="64">
        <f>I95*H95</f>
        <v>12000</v>
      </c>
      <c r="K95" s="18">
        <f>+J95*1.15</f>
        <v>13799.999999999998</v>
      </c>
      <c r="L95" s="18"/>
      <c r="M95" s="27">
        <f>+K95*0.067</f>
        <v>924.59999999999991</v>
      </c>
      <c r="N95" s="27"/>
    </row>
    <row r="96" spans="3:14" ht="14.25" customHeight="1" x14ac:dyDescent="0.35">
      <c r="C96" s="113" t="s">
        <v>236</v>
      </c>
      <c r="D96" s="114"/>
      <c r="E96" s="114"/>
      <c r="F96" s="114"/>
      <c r="G96" s="114"/>
      <c r="H96" s="114"/>
      <c r="I96" s="28"/>
      <c r="J96" s="42">
        <f>SUM(J95:J95)</f>
        <v>12000</v>
      </c>
      <c r="K96" s="18"/>
      <c r="L96" s="23"/>
      <c r="M96" s="23"/>
      <c r="N96" s="23"/>
    </row>
    <row r="97" spans="3:15" ht="14.25" customHeight="1" x14ac:dyDescent="0.35">
      <c r="C97" s="115" t="s">
        <v>43</v>
      </c>
      <c r="D97" s="109"/>
      <c r="E97" s="109"/>
      <c r="F97" s="109"/>
      <c r="G97" s="109"/>
      <c r="H97" s="109"/>
      <c r="I97" s="110"/>
      <c r="J97" s="64">
        <f>J96*0.1</f>
        <v>1200</v>
      </c>
      <c r="K97" s="18"/>
      <c r="L97" s="27"/>
      <c r="M97" s="27"/>
      <c r="N97" s="27"/>
    </row>
    <row r="98" spans="3:15" ht="14.25" customHeight="1" x14ac:dyDescent="0.35">
      <c r="C98" s="115" t="s">
        <v>51</v>
      </c>
      <c r="D98" s="109"/>
      <c r="E98" s="109"/>
      <c r="F98" s="109"/>
      <c r="G98" s="109"/>
      <c r="H98" s="109"/>
      <c r="I98" s="110"/>
      <c r="J98" s="64">
        <f>J96*0.05</f>
        <v>600</v>
      </c>
      <c r="K98" s="18"/>
      <c r="L98" s="27"/>
      <c r="M98" s="27"/>
      <c r="N98" s="27"/>
    </row>
    <row r="99" spans="3:15" ht="14.25" customHeight="1" x14ac:dyDescent="0.35">
      <c r="C99" s="108" t="s">
        <v>24</v>
      </c>
      <c r="D99" s="109"/>
      <c r="E99" s="109"/>
      <c r="F99" s="109"/>
      <c r="G99" s="109"/>
      <c r="H99" s="109"/>
      <c r="I99" s="110"/>
      <c r="J99" s="42">
        <f>SUM(J96:J98)</f>
        <v>13800</v>
      </c>
      <c r="K99" s="23">
        <f>SUM(K95:K98)</f>
        <v>13799.999999999998</v>
      </c>
      <c r="L99" s="31"/>
      <c r="M99" s="31">
        <f>SUM(M95:M98)</f>
        <v>924.59999999999991</v>
      </c>
      <c r="N99" s="31"/>
    </row>
    <row r="100" spans="3:15" ht="14.25" customHeight="1" x14ac:dyDescent="0.35">
      <c r="C100" s="108" t="s">
        <v>223</v>
      </c>
      <c r="D100" s="109"/>
      <c r="E100" s="109"/>
      <c r="F100" s="109"/>
      <c r="G100" s="109"/>
      <c r="H100" s="109"/>
      <c r="I100" s="110"/>
      <c r="J100" s="42">
        <f>+J93+J99</f>
        <v>77050</v>
      </c>
      <c r="K100" s="23">
        <f>+K93+K99</f>
        <v>77049.999999999985</v>
      </c>
      <c r="L100" s="23"/>
      <c r="M100" s="23">
        <f>+M93+M99</f>
        <v>2505.85</v>
      </c>
      <c r="N100" s="23"/>
    </row>
    <row r="101" spans="3:15" ht="15" customHeight="1" x14ac:dyDescent="0.35">
      <c r="C101" s="121" t="s">
        <v>274</v>
      </c>
      <c r="D101" s="120"/>
      <c r="E101" s="120"/>
      <c r="F101" s="120"/>
      <c r="G101" s="120"/>
      <c r="H101" s="120"/>
      <c r="I101" s="120"/>
      <c r="J101" s="120"/>
      <c r="K101" s="23"/>
      <c r="L101" s="23"/>
      <c r="M101" s="23"/>
      <c r="N101" s="23"/>
      <c r="O101" s="49"/>
    </row>
    <row r="102" spans="3:15" ht="15" customHeight="1" x14ac:dyDescent="0.35">
      <c r="C102" s="39"/>
      <c r="D102" s="19" t="s">
        <v>217</v>
      </c>
      <c r="E102" s="106" t="s">
        <v>275</v>
      </c>
      <c r="F102" s="107"/>
      <c r="G102" s="19"/>
      <c r="H102" s="19"/>
      <c r="I102" s="19"/>
      <c r="J102" s="68"/>
      <c r="K102" s="16"/>
      <c r="L102" s="16"/>
      <c r="M102" s="16"/>
      <c r="N102" s="16"/>
      <c r="O102" s="49"/>
    </row>
    <row r="103" spans="3:15" ht="28.5" customHeight="1" x14ac:dyDescent="0.35">
      <c r="C103" s="48"/>
      <c r="D103" s="19"/>
      <c r="E103" s="111" t="s">
        <v>276</v>
      </c>
      <c r="F103" s="112"/>
      <c r="G103" s="24" t="s">
        <v>73</v>
      </c>
      <c r="H103" s="19">
        <v>1</v>
      </c>
      <c r="I103" s="25">
        <v>20000</v>
      </c>
      <c r="J103" s="64">
        <f t="shared" ref="J103" si="3">I103*H103</f>
        <v>20000</v>
      </c>
      <c r="K103" s="18">
        <f>+J103*1.15</f>
        <v>23000</v>
      </c>
      <c r="L103" s="18"/>
      <c r="M103" s="27">
        <f>+K103*0.067</f>
        <v>1541</v>
      </c>
      <c r="N103" s="23"/>
      <c r="O103" s="49"/>
    </row>
    <row r="104" spans="3:15" ht="15" customHeight="1" x14ac:dyDescent="0.35">
      <c r="C104" s="113" t="s">
        <v>277</v>
      </c>
      <c r="D104" s="114"/>
      <c r="E104" s="114"/>
      <c r="F104" s="114"/>
      <c r="G104" s="114"/>
      <c r="H104" s="114"/>
      <c r="I104" s="28"/>
      <c r="J104" s="42">
        <f>SUM(J103:J103)</f>
        <v>20000</v>
      </c>
      <c r="K104" s="18"/>
      <c r="L104" s="18"/>
      <c r="M104" s="27"/>
      <c r="N104" s="23"/>
      <c r="O104" s="49"/>
    </row>
    <row r="105" spans="3:15" ht="15" customHeight="1" x14ac:dyDescent="0.35">
      <c r="C105" s="115" t="s">
        <v>43</v>
      </c>
      <c r="D105" s="109"/>
      <c r="E105" s="109"/>
      <c r="F105" s="109"/>
      <c r="G105" s="109"/>
      <c r="H105" s="109"/>
      <c r="I105" s="110"/>
      <c r="J105" s="64">
        <f>J103*0.1</f>
        <v>2000</v>
      </c>
      <c r="K105" s="18"/>
      <c r="L105" s="27"/>
      <c r="M105" s="27"/>
      <c r="N105" s="27"/>
    </row>
    <row r="106" spans="3:15" ht="15" customHeight="1" x14ac:dyDescent="0.35">
      <c r="C106" s="115" t="s">
        <v>51</v>
      </c>
      <c r="D106" s="109"/>
      <c r="E106" s="109"/>
      <c r="F106" s="109"/>
      <c r="G106" s="109"/>
      <c r="H106" s="109"/>
      <c r="I106" s="110"/>
      <c r="J106" s="64">
        <f>J103*0.05</f>
        <v>1000</v>
      </c>
      <c r="K106" s="18"/>
      <c r="L106" s="27"/>
      <c r="M106" s="27"/>
      <c r="N106" s="27"/>
    </row>
    <row r="107" spans="3:15" ht="15" customHeight="1" x14ac:dyDescent="0.35">
      <c r="C107" s="108" t="s">
        <v>24</v>
      </c>
      <c r="D107" s="109"/>
      <c r="E107" s="109"/>
      <c r="F107" s="109"/>
      <c r="G107" s="109"/>
      <c r="H107" s="109"/>
      <c r="I107" s="110"/>
      <c r="J107" s="42">
        <f>SUM(J104:J106)</f>
        <v>23000</v>
      </c>
      <c r="K107" s="42">
        <f>SUM(K102:K106)</f>
        <v>23000</v>
      </c>
      <c r="L107" s="43"/>
      <c r="M107" s="43">
        <f>SUM(M102:M106)</f>
        <v>1541</v>
      </c>
      <c r="N107" s="43"/>
    </row>
    <row r="108" spans="3:15" ht="15" customHeight="1" x14ac:dyDescent="0.35">
      <c r="C108" s="108" t="s">
        <v>278</v>
      </c>
      <c r="D108" s="109"/>
      <c r="E108" s="109"/>
      <c r="F108" s="109"/>
      <c r="G108" s="109"/>
      <c r="H108" s="109"/>
      <c r="I108" s="110"/>
      <c r="J108" s="42">
        <f>+J107</f>
        <v>23000</v>
      </c>
      <c r="K108" s="42">
        <f t="shared" ref="K108:M108" si="4">+K107</f>
        <v>23000</v>
      </c>
      <c r="L108" s="42"/>
      <c r="M108" s="42">
        <f t="shared" si="4"/>
        <v>1541</v>
      </c>
      <c r="N108" s="42"/>
    </row>
    <row r="109" spans="3:15" ht="15" customHeight="1" x14ac:dyDescent="0.35">
      <c r="C109" s="108" t="s">
        <v>66</v>
      </c>
      <c r="D109" s="122"/>
      <c r="E109" s="122"/>
      <c r="F109" s="122"/>
      <c r="G109" s="122"/>
      <c r="H109" s="122"/>
      <c r="I109" s="123"/>
      <c r="J109" s="42">
        <f>+J45+J54+J69+J78+J86+J100+J108</f>
        <v>1718100</v>
      </c>
      <c r="K109" s="42">
        <f>+K45+K54+K69+K78+K86+K100+K108</f>
        <v>899300</v>
      </c>
      <c r="L109" s="42">
        <f>+L45+L54+L69+L78+L86+L100+L108</f>
        <v>818800</v>
      </c>
      <c r="M109" s="42">
        <f>+M45+M54+M69+M78+M86+M100+M108</f>
        <v>57596.599999999991</v>
      </c>
      <c r="N109" s="42">
        <f>+N45+N54+N69+N78+N86+N100+N108</f>
        <v>20470</v>
      </c>
      <c r="O109" s="49"/>
    </row>
    <row r="110" spans="3:15" ht="15" customHeight="1" x14ac:dyDescent="0.35">
      <c r="C110" s="121" t="s">
        <v>61</v>
      </c>
      <c r="D110" s="133"/>
      <c r="E110" s="133"/>
      <c r="F110" s="133"/>
      <c r="G110" s="133"/>
      <c r="H110" s="133"/>
      <c r="I110" s="133"/>
      <c r="J110" s="133"/>
      <c r="K110" s="44"/>
      <c r="L110" s="44"/>
      <c r="M110" s="44"/>
      <c r="N110" s="44"/>
    </row>
    <row r="111" spans="3:15" ht="15" customHeight="1" x14ac:dyDescent="0.35">
      <c r="C111" s="121" t="s">
        <v>116</v>
      </c>
      <c r="D111" s="120"/>
      <c r="E111" s="120"/>
      <c r="F111" s="120"/>
      <c r="G111" s="120"/>
      <c r="H111" s="120"/>
      <c r="I111" s="120"/>
      <c r="J111" s="120"/>
      <c r="K111" s="18"/>
      <c r="L111" s="18"/>
      <c r="M111" s="19"/>
      <c r="N111" s="19"/>
    </row>
    <row r="112" spans="3:15" ht="30.75" customHeight="1" x14ac:dyDescent="0.35">
      <c r="C112" s="34"/>
      <c r="D112" s="19" t="s">
        <v>50</v>
      </c>
      <c r="E112" s="106" t="s">
        <v>118</v>
      </c>
      <c r="F112" s="107"/>
      <c r="G112" s="35"/>
      <c r="H112" s="35"/>
      <c r="I112" s="35"/>
      <c r="J112" s="70"/>
      <c r="K112" s="36"/>
      <c r="L112" s="37"/>
      <c r="M112" s="36"/>
      <c r="N112" s="37"/>
    </row>
    <row r="113" spans="3:14" ht="15" customHeight="1" x14ac:dyDescent="0.35">
      <c r="C113" s="38">
        <v>1</v>
      </c>
      <c r="D113" s="19"/>
      <c r="E113" s="118" t="s">
        <v>127</v>
      </c>
      <c r="F113" s="119"/>
      <c r="G113" s="19" t="s">
        <v>3</v>
      </c>
      <c r="H113" s="19">
        <v>3</v>
      </c>
      <c r="I113" s="25">
        <v>2000</v>
      </c>
      <c r="J113" s="64">
        <f>I113*H113</f>
        <v>6000</v>
      </c>
      <c r="K113" s="18">
        <f>+J113*1.15</f>
        <v>6899.9999999999991</v>
      </c>
      <c r="L113" s="18"/>
      <c r="M113" s="27">
        <f>+K113*0.067</f>
        <v>462.29999999999995</v>
      </c>
      <c r="N113" s="26"/>
    </row>
    <row r="114" spans="3:14" ht="13.5" customHeight="1" x14ac:dyDescent="0.35">
      <c r="C114" s="113" t="s">
        <v>123</v>
      </c>
      <c r="D114" s="114"/>
      <c r="E114" s="114"/>
      <c r="F114" s="114"/>
      <c r="G114" s="114"/>
      <c r="H114" s="114"/>
      <c r="I114" s="28"/>
      <c r="J114" s="42">
        <f>SUM(J113:J113)</f>
        <v>6000</v>
      </c>
      <c r="K114" s="18"/>
      <c r="L114" s="23"/>
      <c r="M114" s="23"/>
      <c r="N114" s="23"/>
    </row>
    <row r="115" spans="3:14" ht="15" customHeight="1" x14ac:dyDescent="0.35">
      <c r="C115" s="115" t="s">
        <v>43</v>
      </c>
      <c r="D115" s="109"/>
      <c r="E115" s="109"/>
      <c r="F115" s="109"/>
      <c r="G115" s="109"/>
      <c r="H115" s="109"/>
      <c r="I115" s="110"/>
      <c r="J115" s="64">
        <f>J114*0.1</f>
        <v>600</v>
      </c>
      <c r="K115" s="18"/>
      <c r="L115" s="27"/>
      <c r="M115" s="27"/>
      <c r="N115" s="27"/>
    </row>
    <row r="116" spans="3:14" ht="15" customHeight="1" x14ac:dyDescent="0.35">
      <c r="C116" s="115" t="s">
        <v>51</v>
      </c>
      <c r="D116" s="109"/>
      <c r="E116" s="109"/>
      <c r="F116" s="109"/>
      <c r="G116" s="109"/>
      <c r="H116" s="109"/>
      <c r="I116" s="110"/>
      <c r="J116" s="64">
        <f>J114*0.05</f>
        <v>300</v>
      </c>
      <c r="K116" s="18"/>
      <c r="L116" s="27"/>
      <c r="M116" s="27"/>
      <c r="N116" s="27"/>
    </row>
    <row r="117" spans="3:14" ht="15" customHeight="1" x14ac:dyDescent="0.35">
      <c r="C117" s="108" t="s">
        <v>24</v>
      </c>
      <c r="D117" s="109"/>
      <c r="E117" s="109"/>
      <c r="F117" s="109"/>
      <c r="G117" s="109"/>
      <c r="H117" s="109"/>
      <c r="I117" s="110"/>
      <c r="J117" s="42">
        <f>SUM(J114:J116)</f>
        <v>6900</v>
      </c>
      <c r="K117" s="18">
        <f>SUM(K113:K116)</f>
        <v>6899.9999999999991</v>
      </c>
      <c r="L117" s="18"/>
      <c r="M117" s="27">
        <f>SUM(M113:M116)</f>
        <v>462.29999999999995</v>
      </c>
      <c r="N117" s="18"/>
    </row>
    <row r="118" spans="3:14" ht="27" customHeight="1" x14ac:dyDescent="0.35">
      <c r="C118" s="34"/>
      <c r="D118" s="19" t="s">
        <v>144</v>
      </c>
      <c r="E118" s="106" t="s">
        <v>119</v>
      </c>
      <c r="F118" s="107"/>
      <c r="G118" s="35"/>
      <c r="H118" s="35"/>
      <c r="I118" s="35"/>
      <c r="J118" s="70"/>
      <c r="K118" s="36"/>
      <c r="L118" s="37"/>
      <c r="M118" s="36"/>
      <c r="N118" s="37"/>
    </row>
    <row r="119" spans="3:14" ht="27.75" customHeight="1" x14ac:dyDescent="0.35">
      <c r="C119" s="24"/>
      <c r="D119" s="19"/>
      <c r="E119" s="115" t="s">
        <v>120</v>
      </c>
      <c r="F119" s="123"/>
      <c r="G119" s="19"/>
      <c r="H119" s="19"/>
      <c r="I119" s="25"/>
      <c r="J119" s="64"/>
      <c r="K119" s="25"/>
      <c r="L119" s="25"/>
      <c r="M119" s="26"/>
      <c r="N119" s="26"/>
    </row>
    <row r="120" spans="3:14" ht="15.75" customHeight="1" x14ac:dyDescent="0.35">
      <c r="C120" s="24">
        <v>1</v>
      </c>
      <c r="D120" s="19"/>
      <c r="E120" s="118" t="s">
        <v>121</v>
      </c>
      <c r="F120" s="119"/>
      <c r="G120" s="19" t="s">
        <v>4</v>
      </c>
      <c r="H120" s="19">
        <v>60</v>
      </c>
      <c r="I120" s="25">
        <v>120</v>
      </c>
      <c r="J120" s="64">
        <f>I120*H120</f>
        <v>7200</v>
      </c>
      <c r="K120" s="25"/>
      <c r="L120" s="59">
        <f>+J120*1.15</f>
        <v>8280</v>
      </c>
      <c r="M120" s="26"/>
      <c r="N120" s="26">
        <f>+L120*0.025</f>
        <v>207</v>
      </c>
    </row>
    <row r="121" spans="3:14" ht="29.25" customHeight="1" x14ac:dyDescent="0.35">
      <c r="C121" s="113" t="s">
        <v>122</v>
      </c>
      <c r="D121" s="114"/>
      <c r="E121" s="114"/>
      <c r="F121" s="114"/>
      <c r="G121" s="114"/>
      <c r="H121" s="114"/>
      <c r="I121" s="28"/>
      <c r="J121" s="42">
        <f>SUM(J120:J120)</f>
        <v>7200</v>
      </c>
      <c r="K121" s="18"/>
      <c r="L121" s="23"/>
      <c r="M121" s="23"/>
      <c r="N121" s="23"/>
    </row>
    <row r="122" spans="3:14" ht="14.25" customHeight="1" x14ac:dyDescent="0.35">
      <c r="C122" s="115" t="s">
        <v>43</v>
      </c>
      <c r="D122" s="109"/>
      <c r="E122" s="109"/>
      <c r="F122" s="109"/>
      <c r="G122" s="109"/>
      <c r="H122" s="109"/>
      <c r="I122" s="110"/>
      <c r="J122" s="64">
        <f>J121*0.1</f>
        <v>720</v>
      </c>
      <c r="K122" s="18"/>
      <c r="L122" s="27"/>
      <c r="M122" s="27"/>
      <c r="N122" s="27"/>
    </row>
    <row r="123" spans="3:14" ht="13.5" customHeight="1" x14ac:dyDescent="0.35">
      <c r="C123" s="115" t="s">
        <v>51</v>
      </c>
      <c r="D123" s="109"/>
      <c r="E123" s="109"/>
      <c r="F123" s="109"/>
      <c r="G123" s="109"/>
      <c r="H123" s="109"/>
      <c r="I123" s="110"/>
      <c r="J123" s="64">
        <f>J121*0.05</f>
        <v>360</v>
      </c>
      <c r="K123" s="18"/>
      <c r="L123" s="27"/>
      <c r="M123" s="27"/>
      <c r="N123" s="27"/>
    </row>
    <row r="124" spans="3:14" ht="15" customHeight="1" x14ac:dyDescent="0.35">
      <c r="C124" s="108" t="s">
        <v>24</v>
      </c>
      <c r="D124" s="109"/>
      <c r="E124" s="109"/>
      <c r="F124" s="109"/>
      <c r="G124" s="109"/>
      <c r="H124" s="109"/>
      <c r="I124" s="110"/>
      <c r="J124" s="42">
        <f>SUM(J121:J123)</f>
        <v>8280</v>
      </c>
      <c r="K124" s="18"/>
      <c r="L124" s="31">
        <f>SUM(L119:L123)</f>
        <v>8280</v>
      </c>
      <c r="M124" s="27"/>
      <c r="N124" s="31">
        <f>SUM(N119:N123)</f>
        <v>207</v>
      </c>
    </row>
    <row r="125" spans="3:14" ht="28.5" customHeight="1" x14ac:dyDescent="0.35">
      <c r="C125" s="48"/>
      <c r="D125" s="29"/>
      <c r="E125" s="106" t="s">
        <v>242</v>
      </c>
      <c r="F125" s="107"/>
      <c r="G125" s="29"/>
      <c r="H125" s="29"/>
      <c r="I125" s="30"/>
      <c r="J125" s="42"/>
      <c r="K125" s="18"/>
      <c r="L125" s="31"/>
      <c r="M125" s="27"/>
      <c r="N125" s="31"/>
    </row>
    <row r="126" spans="3:14" ht="27.75" customHeight="1" x14ac:dyDescent="0.35">
      <c r="C126" s="24">
        <v>1</v>
      </c>
      <c r="D126" s="19" t="s">
        <v>145</v>
      </c>
      <c r="E126" s="118" t="s">
        <v>243</v>
      </c>
      <c r="F126" s="119"/>
      <c r="G126" s="24" t="s">
        <v>55</v>
      </c>
      <c r="H126" s="19">
        <v>2</v>
      </c>
      <c r="I126" s="25">
        <v>3000</v>
      </c>
      <c r="J126" s="64">
        <f>I126*H126</f>
        <v>6000</v>
      </c>
      <c r="K126" s="18">
        <f>+J126*1.15</f>
        <v>6899.9999999999991</v>
      </c>
      <c r="L126" s="18"/>
      <c r="M126" s="27">
        <f>+K126*0.067</f>
        <v>462.29999999999995</v>
      </c>
      <c r="N126" s="27"/>
    </row>
    <row r="127" spans="3:14" ht="28.5" customHeight="1" x14ac:dyDescent="0.35">
      <c r="C127" s="113" t="s">
        <v>238</v>
      </c>
      <c r="D127" s="114"/>
      <c r="E127" s="114"/>
      <c r="F127" s="114"/>
      <c r="G127" s="114"/>
      <c r="H127" s="114"/>
      <c r="I127" s="28"/>
      <c r="J127" s="42">
        <f>SUM(J125:J126)</f>
        <v>6000</v>
      </c>
      <c r="K127" s="18"/>
      <c r="L127" s="23"/>
      <c r="M127" s="23"/>
      <c r="N127" s="23"/>
    </row>
    <row r="128" spans="3:14" ht="15" customHeight="1" x14ac:dyDescent="0.35">
      <c r="C128" s="115" t="s">
        <v>43</v>
      </c>
      <c r="D128" s="109"/>
      <c r="E128" s="109"/>
      <c r="F128" s="109"/>
      <c r="G128" s="109"/>
      <c r="H128" s="109"/>
      <c r="I128" s="110"/>
      <c r="J128" s="64">
        <f>J127*0.1</f>
        <v>600</v>
      </c>
      <c r="K128" s="18"/>
      <c r="L128" s="27"/>
      <c r="M128" s="27"/>
      <c r="N128" s="27"/>
    </row>
    <row r="129" spans="3:14" ht="15" customHeight="1" x14ac:dyDescent="0.35">
      <c r="C129" s="115" t="s">
        <v>51</v>
      </c>
      <c r="D129" s="109"/>
      <c r="E129" s="109"/>
      <c r="F129" s="109"/>
      <c r="G129" s="109"/>
      <c r="H129" s="109"/>
      <c r="I129" s="110"/>
      <c r="J129" s="64">
        <f>J127*0.05</f>
        <v>300</v>
      </c>
      <c r="K129" s="18"/>
      <c r="L129" s="27"/>
      <c r="M129" s="27"/>
      <c r="N129" s="27"/>
    </row>
    <row r="130" spans="3:14" ht="15" customHeight="1" x14ac:dyDescent="0.35">
      <c r="C130" s="108" t="s">
        <v>24</v>
      </c>
      <c r="D130" s="109"/>
      <c r="E130" s="109"/>
      <c r="F130" s="109"/>
      <c r="G130" s="109"/>
      <c r="H130" s="109"/>
      <c r="I130" s="110"/>
      <c r="J130" s="42">
        <f>SUM(J127:J129)</f>
        <v>6900</v>
      </c>
      <c r="K130" s="23">
        <f>SUM(K125:K129)</f>
        <v>6899.9999999999991</v>
      </c>
      <c r="L130" s="31"/>
      <c r="M130" s="31">
        <f>SUM(M125:M129)</f>
        <v>462.29999999999995</v>
      </c>
      <c r="N130" s="31"/>
    </row>
    <row r="131" spans="3:14" ht="39.75" customHeight="1" x14ac:dyDescent="0.35">
      <c r="C131" s="24"/>
      <c r="D131" s="19" t="s">
        <v>146</v>
      </c>
      <c r="E131" s="106" t="s">
        <v>126</v>
      </c>
      <c r="F131" s="107"/>
      <c r="G131" s="19"/>
      <c r="H131" s="19"/>
      <c r="I131" s="25"/>
      <c r="J131" s="66"/>
      <c r="K131" s="18"/>
      <c r="L131" s="18"/>
      <c r="M131" s="27"/>
      <c r="N131" s="27"/>
    </row>
    <row r="132" spans="3:14" ht="28.5" customHeight="1" x14ac:dyDescent="0.35">
      <c r="C132" s="24">
        <f>1+C131</f>
        <v>1</v>
      </c>
      <c r="D132" s="19"/>
      <c r="E132" s="118" t="s">
        <v>62</v>
      </c>
      <c r="F132" s="119"/>
      <c r="G132" s="19" t="s">
        <v>4</v>
      </c>
      <c r="H132" s="19">
        <v>1110</v>
      </c>
      <c r="I132" s="25">
        <v>200</v>
      </c>
      <c r="J132" s="64">
        <f>I132*H132</f>
        <v>222000</v>
      </c>
      <c r="K132" s="25"/>
      <c r="L132" s="59">
        <f>+J132*1.15</f>
        <v>255299.99999999997</v>
      </c>
      <c r="M132" s="26"/>
      <c r="N132" s="26">
        <f>+L132*0.025</f>
        <v>6382.5</v>
      </c>
    </row>
    <row r="133" spans="3:14" ht="14.25" customHeight="1" x14ac:dyDescent="0.35">
      <c r="C133" s="24"/>
      <c r="D133" s="19"/>
      <c r="E133" s="118" t="s">
        <v>117</v>
      </c>
      <c r="F133" s="119"/>
      <c r="G133" s="18"/>
      <c r="H133" s="18"/>
      <c r="I133" s="18"/>
      <c r="J133" s="40"/>
      <c r="K133" s="18"/>
      <c r="L133" s="18"/>
      <c r="M133" s="18"/>
      <c r="N133" s="18"/>
    </row>
    <row r="134" spans="3:14" ht="30" customHeight="1" x14ac:dyDescent="0.35">
      <c r="C134" s="24"/>
      <c r="D134" s="19"/>
      <c r="E134" s="118" t="s">
        <v>52</v>
      </c>
      <c r="F134" s="119"/>
      <c r="G134" s="19" t="s">
        <v>3</v>
      </c>
      <c r="H134" s="19">
        <v>20</v>
      </c>
      <c r="I134" s="25">
        <v>500</v>
      </c>
      <c r="J134" s="64">
        <f>I134*H134</f>
        <v>10000</v>
      </c>
      <c r="K134" s="18"/>
      <c r="L134" s="59">
        <f>+J134*1.15</f>
        <v>11500</v>
      </c>
      <c r="M134" s="27"/>
      <c r="N134" s="27">
        <f>+L134*0.025</f>
        <v>287.5</v>
      </c>
    </row>
    <row r="135" spans="3:14" ht="29.25" customHeight="1" x14ac:dyDescent="0.35">
      <c r="C135" s="113" t="s">
        <v>124</v>
      </c>
      <c r="D135" s="114"/>
      <c r="E135" s="114"/>
      <c r="F135" s="114"/>
      <c r="G135" s="114"/>
      <c r="H135" s="114"/>
      <c r="I135" s="28"/>
      <c r="J135" s="42">
        <f>SUM(J132:J134)</f>
        <v>232000</v>
      </c>
      <c r="K135" s="18"/>
      <c r="L135" s="23"/>
      <c r="M135" s="23"/>
      <c r="N135" s="23"/>
    </row>
    <row r="136" spans="3:14" ht="15.75" customHeight="1" x14ac:dyDescent="0.35">
      <c r="C136" s="115" t="s">
        <v>43</v>
      </c>
      <c r="D136" s="109"/>
      <c r="E136" s="109"/>
      <c r="F136" s="109"/>
      <c r="G136" s="109"/>
      <c r="H136" s="109"/>
      <c r="I136" s="110"/>
      <c r="J136" s="64">
        <f>J135*0.1</f>
        <v>23200</v>
      </c>
      <c r="K136" s="18"/>
      <c r="L136" s="27"/>
      <c r="M136" s="27"/>
      <c r="N136" s="27"/>
    </row>
    <row r="137" spans="3:14" ht="15.75" customHeight="1" x14ac:dyDescent="0.35">
      <c r="C137" s="115" t="s">
        <v>51</v>
      </c>
      <c r="D137" s="109"/>
      <c r="E137" s="109"/>
      <c r="F137" s="109"/>
      <c r="G137" s="109"/>
      <c r="H137" s="109"/>
      <c r="I137" s="110"/>
      <c r="J137" s="64">
        <f>J135*0.05</f>
        <v>11600</v>
      </c>
      <c r="K137" s="18"/>
      <c r="L137" s="27"/>
      <c r="M137" s="27"/>
      <c r="N137" s="27"/>
    </row>
    <row r="138" spans="3:14" ht="15.75" customHeight="1" x14ac:dyDescent="0.35">
      <c r="C138" s="108" t="s">
        <v>24</v>
      </c>
      <c r="D138" s="109"/>
      <c r="E138" s="109"/>
      <c r="F138" s="109"/>
      <c r="G138" s="109"/>
      <c r="H138" s="109"/>
      <c r="I138" s="110"/>
      <c r="J138" s="42">
        <f>SUM(J135:J137)</f>
        <v>266800</v>
      </c>
      <c r="K138" s="18"/>
      <c r="L138" s="31">
        <f>SUM(L132:L137)</f>
        <v>266800</v>
      </c>
      <c r="M138" s="27"/>
      <c r="N138" s="31">
        <f>SUM(N132:N137)</f>
        <v>6670</v>
      </c>
    </row>
    <row r="139" spans="3:14" ht="40.5" customHeight="1" x14ac:dyDescent="0.35">
      <c r="C139" s="24"/>
      <c r="D139" s="19" t="s">
        <v>244</v>
      </c>
      <c r="E139" s="106" t="s">
        <v>140</v>
      </c>
      <c r="F139" s="107"/>
      <c r="G139" s="29"/>
      <c r="H139" s="29"/>
      <c r="I139" s="30"/>
      <c r="J139" s="42"/>
      <c r="K139" s="18"/>
      <c r="L139" s="31"/>
      <c r="M139" s="27"/>
      <c r="N139" s="31"/>
    </row>
    <row r="140" spans="3:14" ht="30" customHeight="1" x14ac:dyDescent="0.35">
      <c r="C140" s="24"/>
      <c r="D140" s="19"/>
      <c r="E140" s="118" t="s">
        <v>125</v>
      </c>
      <c r="F140" s="119"/>
      <c r="G140" s="19" t="s">
        <v>4</v>
      </c>
      <c r="H140" s="19">
        <v>120</v>
      </c>
      <c r="I140" s="25">
        <v>110</v>
      </c>
      <c r="J140" s="64">
        <f>I140*H140</f>
        <v>13200</v>
      </c>
      <c r="K140" s="25"/>
      <c r="L140" s="59">
        <f>+J140*1.15</f>
        <v>15179.999999999998</v>
      </c>
      <c r="M140" s="26"/>
      <c r="N140" s="26">
        <f>+L140*0.025</f>
        <v>379.5</v>
      </c>
    </row>
    <row r="141" spans="3:14" ht="15" customHeight="1" x14ac:dyDescent="0.35">
      <c r="C141" s="24"/>
      <c r="D141" s="19"/>
      <c r="E141" s="118" t="s">
        <v>63</v>
      </c>
      <c r="F141" s="119"/>
      <c r="G141" s="19" t="s">
        <v>55</v>
      </c>
      <c r="H141" s="19">
        <v>1</v>
      </c>
      <c r="I141" s="25">
        <v>22500</v>
      </c>
      <c r="J141" s="64">
        <f>I141*H141</f>
        <v>22500</v>
      </c>
      <c r="K141" s="18">
        <f>+J141*1.15</f>
        <v>25874.999999999996</v>
      </c>
      <c r="L141" s="18"/>
      <c r="M141" s="27">
        <f>+K141*0.067</f>
        <v>1733.6249999999998</v>
      </c>
      <c r="N141" s="27"/>
    </row>
    <row r="142" spans="3:14" ht="28.5" customHeight="1" x14ac:dyDescent="0.35">
      <c r="C142" s="24">
        <v>2</v>
      </c>
      <c r="D142" s="19"/>
      <c r="E142" s="118" t="s">
        <v>141</v>
      </c>
      <c r="F142" s="119"/>
      <c r="G142" s="19" t="s">
        <v>4</v>
      </c>
      <c r="H142" s="19">
        <v>80</v>
      </c>
      <c r="I142" s="25">
        <v>110</v>
      </c>
      <c r="J142" s="64">
        <f>I142*H142</f>
        <v>8800</v>
      </c>
      <c r="K142" s="25"/>
      <c r="L142" s="59">
        <f>+J142*1.15</f>
        <v>10120</v>
      </c>
      <c r="M142" s="26"/>
      <c r="N142" s="26">
        <f>+L142*0.025</f>
        <v>253</v>
      </c>
    </row>
    <row r="143" spans="3:14" ht="29.25" customHeight="1" x14ac:dyDescent="0.35">
      <c r="C143" s="113" t="s">
        <v>142</v>
      </c>
      <c r="D143" s="114"/>
      <c r="E143" s="114"/>
      <c r="F143" s="114"/>
      <c r="G143" s="114"/>
      <c r="H143" s="114"/>
      <c r="I143" s="28"/>
      <c r="J143" s="42">
        <f>SUM(J140:J142)</f>
        <v>44500</v>
      </c>
      <c r="K143" s="18"/>
      <c r="L143" s="18"/>
      <c r="M143" s="27"/>
      <c r="N143" s="27"/>
    </row>
    <row r="144" spans="3:14" ht="15" customHeight="1" x14ac:dyDescent="0.35">
      <c r="C144" s="115" t="s">
        <v>43</v>
      </c>
      <c r="D144" s="109"/>
      <c r="E144" s="109"/>
      <c r="F144" s="109"/>
      <c r="G144" s="109"/>
      <c r="H144" s="109"/>
      <c r="I144" s="110"/>
      <c r="J144" s="64">
        <f>J143*0.1</f>
        <v>4450</v>
      </c>
      <c r="K144" s="18"/>
      <c r="L144" s="18"/>
      <c r="M144" s="27"/>
      <c r="N144" s="27"/>
    </row>
    <row r="145" spans="3:15" ht="15" customHeight="1" x14ac:dyDescent="0.35">
      <c r="C145" s="115" t="s">
        <v>51</v>
      </c>
      <c r="D145" s="109"/>
      <c r="E145" s="109"/>
      <c r="F145" s="109"/>
      <c r="G145" s="109"/>
      <c r="H145" s="109"/>
      <c r="I145" s="110"/>
      <c r="J145" s="64">
        <f>J143*0.05</f>
        <v>2225</v>
      </c>
      <c r="K145" s="18"/>
      <c r="L145" s="18"/>
      <c r="M145" s="27"/>
      <c r="N145" s="27"/>
    </row>
    <row r="146" spans="3:15" ht="14.25" customHeight="1" x14ac:dyDescent="0.35">
      <c r="C146" s="108" t="s">
        <v>24</v>
      </c>
      <c r="D146" s="109"/>
      <c r="E146" s="109"/>
      <c r="F146" s="109"/>
      <c r="G146" s="109"/>
      <c r="H146" s="109"/>
      <c r="I146" s="110"/>
      <c r="J146" s="42">
        <f>SUM(J143:J145)</f>
        <v>51175</v>
      </c>
      <c r="K146" s="23">
        <f>SUM(K132:K145)</f>
        <v>25874.999999999996</v>
      </c>
      <c r="L146" s="23">
        <f>SUM(L140:L145)</f>
        <v>25300</v>
      </c>
      <c r="M146" s="23">
        <f>SUM(M140:M145)</f>
        <v>1733.6249999999998</v>
      </c>
      <c r="N146" s="23">
        <f>SUM(N140:N145)</f>
        <v>632.5</v>
      </c>
      <c r="O146" s="49"/>
    </row>
    <row r="147" spans="3:15" ht="14.25" customHeight="1" x14ac:dyDescent="0.35">
      <c r="C147" s="108" t="s">
        <v>143</v>
      </c>
      <c r="D147" s="122"/>
      <c r="E147" s="122"/>
      <c r="F147" s="122"/>
      <c r="G147" s="122"/>
      <c r="H147" s="122"/>
      <c r="I147" s="123"/>
      <c r="J147" s="42">
        <f>+J117+J124+J130+J138+J146</f>
        <v>340055</v>
      </c>
      <c r="K147" s="42">
        <f>+K117+K124+K130+K138+K146</f>
        <v>39674.999999999993</v>
      </c>
      <c r="L147" s="42">
        <f>+L117+L124+L130+L138+L146</f>
        <v>300380</v>
      </c>
      <c r="M147" s="42">
        <f>+M117+M124+M130+M138+M146</f>
        <v>2658.2249999999995</v>
      </c>
      <c r="N147" s="42">
        <f>+N117+N124+N130+N138+N146</f>
        <v>7509.5</v>
      </c>
      <c r="O147" s="49"/>
    </row>
    <row r="148" spans="3:15" ht="14.25" customHeight="1" x14ac:dyDescent="0.35">
      <c r="C148" s="121" t="s">
        <v>80</v>
      </c>
      <c r="D148" s="120"/>
      <c r="E148" s="120"/>
      <c r="F148" s="120"/>
      <c r="G148" s="120"/>
      <c r="H148" s="120"/>
      <c r="I148" s="120"/>
      <c r="J148" s="120"/>
      <c r="K148" s="23"/>
      <c r="L148" s="23"/>
      <c r="M148" s="23"/>
      <c r="N148" s="23"/>
    </row>
    <row r="149" spans="3:15" ht="14.25" customHeight="1" x14ac:dyDescent="0.35">
      <c r="C149" s="17"/>
      <c r="D149" s="19" t="s">
        <v>56</v>
      </c>
      <c r="E149" s="106" t="s">
        <v>202</v>
      </c>
      <c r="F149" s="107"/>
      <c r="G149" s="19"/>
      <c r="H149" s="19"/>
      <c r="I149" s="19"/>
      <c r="J149" s="63"/>
      <c r="K149" s="22"/>
      <c r="L149" s="23"/>
      <c r="M149" s="22"/>
      <c r="N149" s="23"/>
    </row>
    <row r="150" spans="3:15" ht="14.25" customHeight="1" x14ac:dyDescent="0.35">
      <c r="C150" s="24">
        <v>1</v>
      </c>
      <c r="D150" s="19"/>
      <c r="E150" s="118" t="s">
        <v>81</v>
      </c>
      <c r="F150" s="119"/>
      <c r="G150" s="19" t="s">
        <v>55</v>
      </c>
      <c r="H150" s="19">
        <v>1</v>
      </c>
      <c r="I150" s="25">
        <v>25000</v>
      </c>
      <c r="J150" s="64">
        <f>I150*H150</f>
        <v>25000</v>
      </c>
      <c r="K150" s="18"/>
      <c r="L150" s="59">
        <f>+J150*1.15</f>
        <v>28749.999999999996</v>
      </c>
      <c r="M150" s="26"/>
      <c r="N150" s="26">
        <f>+L150*0.025</f>
        <v>718.75</v>
      </c>
    </row>
    <row r="151" spans="3:15" ht="14.25" customHeight="1" x14ac:dyDescent="0.35">
      <c r="C151" s="113" t="s">
        <v>82</v>
      </c>
      <c r="D151" s="114"/>
      <c r="E151" s="114"/>
      <c r="F151" s="114"/>
      <c r="G151" s="114"/>
      <c r="H151" s="114"/>
      <c r="I151" s="28"/>
      <c r="J151" s="42">
        <f>SUM(J150:J150)</f>
        <v>25000</v>
      </c>
      <c r="K151" s="18"/>
      <c r="L151" s="23"/>
      <c r="M151" s="23"/>
      <c r="N151" s="23"/>
    </row>
    <row r="152" spans="3:15" ht="14.25" customHeight="1" x14ac:dyDescent="0.35">
      <c r="C152" s="115" t="s">
        <v>43</v>
      </c>
      <c r="D152" s="109"/>
      <c r="E152" s="109"/>
      <c r="F152" s="109"/>
      <c r="G152" s="109"/>
      <c r="H152" s="109"/>
      <c r="I152" s="110"/>
      <c r="J152" s="64">
        <f>J151*0.1</f>
        <v>2500</v>
      </c>
      <c r="K152" s="18"/>
      <c r="L152" s="27"/>
      <c r="M152" s="27"/>
      <c r="N152" s="27"/>
    </row>
    <row r="153" spans="3:15" ht="14.25" customHeight="1" x14ac:dyDescent="0.35">
      <c r="C153" s="115" t="s">
        <v>51</v>
      </c>
      <c r="D153" s="109"/>
      <c r="E153" s="109"/>
      <c r="F153" s="109"/>
      <c r="G153" s="109"/>
      <c r="H153" s="109"/>
      <c r="I153" s="110"/>
      <c r="J153" s="64">
        <f>J151*0.05</f>
        <v>1250</v>
      </c>
      <c r="K153" s="18"/>
      <c r="L153" s="27"/>
      <c r="M153" s="27"/>
      <c r="N153" s="27"/>
    </row>
    <row r="154" spans="3:15" ht="14.25" customHeight="1" x14ac:dyDescent="0.35">
      <c r="C154" s="108" t="s">
        <v>24</v>
      </c>
      <c r="D154" s="109"/>
      <c r="E154" s="109"/>
      <c r="F154" s="109"/>
      <c r="G154" s="109"/>
      <c r="H154" s="109"/>
      <c r="I154" s="110"/>
      <c r="J154" s="42">
        <f>SUM(J151:J153)</f>
        <v>28750</v>
      </c>
      <c r="K154" s="31"/>
      <c r="L154" s="31">
        <f>SUM(L150:L153)</f>
        <v>28749.999999999996</v>
      </c>
      <c r="M154" s="31"/>
      <c r="N154" s="31">
        <f>SUM(N150:N153)</f>
        <v>718.75</v>
      </c>
    </row>
    <row r="155" spans="3:15" ht="28.5" customHeight="1" x14ac:dyDescent="0.35">
      <c r="C155" s="24"/>
      <c r="D155" s="19" t="s">
        <v>147</v>
      </c>
      <c r="E155" s="106" t="s">
        <v>257</v>
      </c>
      <c r="F155" s="107"/>
      <c r="G155" s="24"/>
      <c r="H155" s="24"/>
      <c r="I155" s="32"/>
      <c r="J155" s="64"/>
      <c r="K155" s="18"/>
      <c r="L155" s="18"/>
      <c r="M155" s="18"/>
      <c r="N155" s="27"/>
    </row>
    <row r="156" spans="3:15" ht="118.5" customHeight="1" x14ac:dyDescent="0.35">
      <c r="C156" s="24">
        <v>1</v>
      </c>
      <c r="D156" s="63"/>
      <c r="E156" s="124" t="s">
        <v>258</v>
      </c>
      <c r="F156" s="126"/>
      <c r="G156" s="24" t="s">
        <v>5</v>
      </c>
      <c r="H156" s="24">
        <v>1</v>
      </c>
      <c r="I156" s="32">
        <v>20000</v>
      </c>
      <c r="J156" s="64">
        <f>I156*H156</f>
        <v>20000</v>
      </c>
      <c r="K156" s="18">
        <f>+J156*1.2*0.5</f>
        <v>12000</v>
      </c>
      <c r="L156" s="18">
        <f>+J156*1.2/2</f>
        <v>12000</v>
      </c>
      <c r="M156" s="27">
        <f>+K156*0.067</f>
        <v>804</v>
      </c>
      <c r="N156" s="26">
        <f>+L156*0.025</f>
        <v>300</v>
      </c>
    </row>
    <row r="157" spans="3:15" x14ac:dyDescent="0.35">
      <c r="C157" s="113" t="s">
        <v>259</v>
      </c>
      <c r="D157" s="114"/>
      <c r="E157" s="114"/>
      <c r="F157" s="114"/>
      <c r="G157" s="114"/>
      <c r="H157" s="114"/>
      <c r="I157" s="28"/>
      <c r="J157" s="42">
        <f>SUM(J156:J156)</f>
        <v>20000</v>
      </c>
      <c r="K157" s="18"/>
      <c r="L157" s="18"/>
      <c r="M157" s="27"/>
      <c r="N157" s="27"/>
    </row>
    <row r="158" spans="3:15" x14ac:dyDescent="0.35">
      <c r="C158" s="115" t="s">
        <v>42</v>
      </c>
      <c r="D158" s="155"/>
      <c r="E158" s="155"/>
      <c r="F158" s="155"/>
      <c r="G158" s="155"/>
      <c r="H158" s="155"/>
      <c r="I158" s="123"/>
      <c r="J158" s="64">
        <f>J157*0.05</f>
        <v>1000</v>
      </c>
      <c r="K158" s="18"/>
      <c r="L158" s="18"/>
      <c r="M158" s="27"/>
      <c r="N158" s="27"/>
    </row>
    <row r="159" spans="3:15" x14ac:dyDescent="0.35">
      <c r="C159" s="115" t="s">
        <v>43</v>
      </c>
      <c r="D159" s="155"/>
      <c r="E159" s="155"/>
      <c r="F159" s="155"/>
      <c r="G159" s="155"/>
      <c r="H159" s="155"/>
      <c r="I159" s="123"/>
      <c r="J159" s="64">
        <f>J157*0.1</f>
        <v>2000</v>
      </c>
      <c r="K159" s="18"/>
      <c r="L159" s="18"/>
      <c r="M159" s="27"/>
      <c r="N159" s="27"/>
    </row>
    <row r="160" spans="3:15" x14ac:dyDescent="0.35">
      <c r="C160" s="115" t="s">
        <v>51</v>
      </c>
      <c r="D160" s="155"/>
      <c r="E160" s="155"/>
      <c r="F160" s="155"/>
      <c r="G160" s="155"/>
      <c r="H160" s="155"/>
      <c r="I160" s="123"/>
      <c r="J160" s="64">
        <f>J157*0.05</f>
        <v>1000</v>
      </c>
      <c r="K160" s="18"/>
      <c r="L160" s="18"/>
      <c r="M160" s="23"/>
      <c r="N160" s="27"/>
    </row>
    <row r="161" spans="3:15" x14ac:dyDescent="0.35">
      <c r="C161" s="108" t="s">
        <v>24</v>
      </c>
      <c r="D161" s="122"/>
      <c r="E161" s="122"/>
      <c r="F161" s="122"/>
      <c r="G161" s="122"/>
      <c r="H161" s="122"/>
      <c r="I161" s="146"/>
      <c r="J161" s="42">
        <f>+J157+J158+J159+J160</f>
        <v>24000</v>
      </c>
      <c r="K161" s="23">
        <f>SUM(K156:K160)</f>
        <v>12000</v>
      </c>
      <c r="L161" s="23">
        <f>SUM(L156:L160)</f>
        <v>12000</v>
      </c>
      <c r="M161" s="23">
        <f>SUM(M156:M160)</f>
        <v>804</v>
      </c>
      <c r="N161" s="23">
        <f>SUM(N156:N160)</f>
        <v>300</v>
      </c>
    </row>
    <row r="162" spans="3:15" x14ac:dyDescent="0.35">
      <c r="C162" s="108" t="s">
        <v>260</v>
      </c>
      <c r="D162" s="122"/>
      <c r="E162" s="122"/>
      <c r="F162" s="122"/>
      <c r="G162" s="122"/>
      <c r="H162" s="122"/>
      <c r="I162" s="123"/>
      <c r="J162" s="42">
        <f>+J154+J161</f>
        <v>52750</v>
      </c>
      <c r="K162" s="23">
        <f t="shared" ref="K162:N162" si="5">+K154+K161</f>
        <v>12000</v>
      </c>
      <c r="L162" s="23">
        <f t="shared" si="5"/>
        <v>40750</v>
      </c>
      <c r="M162" s="23">
        <f t="shared" si="5"/>
        <v>804</v>
      </c>
      <c r="N162" s="23">
        <f t="shared" si="5"/>
        <v>1018.75</v>
      </c>
      <c r="O162" s="49"/>
    </row>
    <row r="163" spans="3:15" x14ac:dyDescent="0.35">
      <c r="C163" s="121" t="s">
        <v>86</v>
      </c>
      <c r="D163" s="120"/>
      <c r="E163" s="120"/>
      <c r="F163" s="120"/>
      <c r="G163" s="120"/>
      <c r="H163" s="120"/>
      <c r="I163" s="120"/>
      <c r="J163" s="120"/>
      <c r="K163" s="23"/>
      <c r="L163" s="23"/>
      <c r="M163" s="23"/>
      <c r="N163" s="23"/>
    </row>
    <row r="164" spans="3:15" ht="28" customHeight="1" x14ac:dyDescent="0.35">
      <c r="C164" s="39"/>
      <c r="D164" s="19" t="s">
        <v>250</v>
      </c>
      <c r="E164" s="106" t="s">
        <v>148</v>
      </c>
      <c r="F164" s="107"/>
      <c r="G164" s="19"/>
      <c r="H164" s="19"/>
      <c r="I164" s="19"/>
      <c r="J164" s="68"/>
      <c r="K164" s="16"/>
      <c r="L164" s="16"/>
      <c r="M164" s="16"/>
      <c r="N164" s="16"/>
    </row>
    <row r="165" spans="3:15" ht="29.5" customHeight="1" x14ac:dyDescent="0.35">
      <c r="C165" s="39">
        <v>1</v>
      </c>
      <c r="D165" s="39"/>
      <c r="E165" s="118" t="s">
        <v>266</v>
      </c>
      <c r="F165" s="119"/>
      <c r="G165" s="19" t="s">
        <v>4</v>
      </c>
      <c r="H165" s="19">
        <v>4650</v>
      </c>
      <c r="I165" s="25">
        <v>100</v>
      </c>
      <c r="J165" s="64">
        <f>I165*H165</f>
        <v>465000</v>
      </c>
      <c r="K165" s="40"/>
      <c r="L165" s="59">
        <f>+J165*1.15</f>
        <v>534750</v>
      </c>
      <c r="M165" s="41"/>
      <c r="N165" s="41">
        <f>+L165*0.025</f>
        <v>13368.75</v>
      </c>
    </row>
    <row r="166" spans="3:15" ht="30" customHeight="1" x14ac:dyDescent="0.35">
      <c r="C166" s="39">
        <v>2</v>
      </c>
      <c r="D166" s="19"/>
      <c r="E166" s="118" t="s">
        <v>153</v>
      </c>
      <c r="F166" s="119"/>
      <c r="G166" s="19" t="s">
        <v>3</v>
      </c>
      <c r="H166" s="19">
        <v>30</v>
      </c>
      <c r="I166" s="25">
        <v>500</v>
      </c>
      <c r="J166" s="64">
        <f>I166*H166</f>
        <v>15000</v>
      </c>
      <c r="K166" s="40"/>
      <c r="L166" s="59">
        <f>+J166*1.15</f>
        <v>17250</v>
      </c>
      <c r="M166" s="41"/>
      <c r="N166" s="41">
        <f>+L166*0.025</f>
        <v>431.25</v>
      </c>
    </row>
    <row r="167" spans="3:15" x14ac:dyDescent="0.35">
      <c r="C167" s="113" t="s">
        <v>149</v>
      </c>
      <c r="D167" s="114"/>
      <c r="E167" s="114"/>
      <c r="F167" s="114"/>
      <c r="G167" s="114"/>
      <c r="H167" s="114"/>
      <c r="I167" s="28"/>
      <c r="J167" s="42">
        <f>SUM(J165:J166)</f>
        <v>480000</v>
      </c>
      <c r="K167" s="40"/>
      <c r="L167" s="42"/>
      <c r="M167" s="42"/>
      <c r="N167" s="42"/>
    </row>
    <row r="168" spans="3:15" x14ac:dyDescent="0.35">
      <c r="C168" s="115" t="s">
        <v>43</v>
      </c>
      <c r="D168" s="109"/>
      <c r="E168" s="109"/>
      <c r="F168" s="109"/>
      <c r="G168" s="109"/>
      <c r="H168" s="109"/>
      <c r="I168" s="110"/>
      <c r="J168" s="64">
        <f>J167*0.1</f>
        <v>48000</v>
      </c>
      <c r="K168" s="40"/>
      <c r="L168" s="41"/>
      <c r="M168" s="41"/>
      <c r="N168" s="41"/>
    </row>
    <row r="169" spans="3:15" x14ac:dyDescent="0.35">
      <c r="C169" s="115" t="s">
        <v>87</v>
      </c>
      <c r="D169" s="109"/>
      <c r="E169" s="109"/>
      <c r="F169" s="109"/>
      <c r="G169" s="109"/>
      <c r="H169" s="109"/>
      <c r="I169" s="110"/>
      <c r="J169" s="64">
        <f>J167*0.05</f>
        <v>24000</v>
      </c>
      <c r="K169" s="40"/>
      <c r="L169" s="41"/>
      <c r="M169" s="41"/>
      <c r="N169" s="41"/>
    </row>
    <row r="170" spans="3:15" x14ac:dyDescent="0.35">
      <c r="C170" s="108" t="s">
        <v>24</v>
      </c>
      <c r="D170" s="109"/>
      <c r="E170" s="109"/>
      <c r="F170" s="109"/>
      <c r="G170" s="109"/>
      <c r="H170" s="109"/>
      <c r="I170" s="110"/>
      <c r="J170" s="42">
        <f>SUM(J167:J169)</f>
        <v>552000</v>
      </c>
      <c r="K170" s="40"/>
      <c r="L170" s="43">
        <f>SUM(L165:L169)</f>
        <v>552000</v>
      </c>
      <c r="M170" s="41"/>
      <c r="N170" s="43">
        <f>SUM(N165:N169)</f>
        <v>13800</v>
      </c>
    </row>
    <row r="171" spans="3:15" ht="30.75" customHeight="1" x14ac:dyDescent="0.35">
      <c r="C171" s="39"/>
      <c r="D171" s="19" t="s">
        <v>251</v>
      </c>
      <c r="E171" s="106" t="s">
        <v>203</v>
      </c>
      <c r="F171" s="107"/>
      <c r="G171" s="19"/>
      <c r="H171" s="19"/>
      <c r="I171" s="25"/>
      <c r="J171" s="69"/>
      <c r="K171" s="16"/>
      <c r="L171" s="16"/>
      <c r="M171" s="16"/>
      <c r="N171" s="16"/>
    </row>
    <row r="172" spans="3:15" ht="13.5" customHeight="1" x14ac:dyDescent="0.35">
      <c r="C172" s="39">
        <v>1</v>
      </c>
      <c r="D172" s="19"/>
      <c r="E172" s="118" t="s">
        <v>99</v>
      </c>
      <c r="F172" s="119"/>
      <c r="G172" s="19" t="s">
        <v>4</v>
      </c>
      <c r="H172" s="19">
        <v>830</v>
      </c>
      <c r="I172" s="25">
        <v>120</v>
      </c>
      <c r="J172" s="64">
        <f>I172*H172</f>
        <v>99600</v>
      </c>
      <c r="K172" s="40"/>
      <c r="L172" s="59">
        <f>+J172*1.15</f>
        <v>114539.99999999999</v>
      </c>
      <c r="M172" s="41"/>
      <c r="N172" s="41">
        <f>+L172*0.025</f>
        <v>2863.5</v>
      </c>
    </row>
    <row r="173" spans="3:15" ht="29.25" customHeight="1" x14ac:dyDescent="0.35">
      <c r="C173" s="39">
        <v>2</v>
      </c>
      <c r="D173" s="19"/>
      <c r="E173" s="118" t="s">
        <v>91</v>
      </c>
      <c r="F173" s="119"/>
      <c r="G173" s="19" t="s">
        <v>5</v>
      </c>
      <c r="H173" s="19">
        <v>7</v>
      </c>
      <c r="I173" s="25">
        <v>500</v>
      </c>
      <c r="J173" s="64">
        <f>I173*H173</f>
        <v>3500</v>
      </c>
      <c r="K173" s="40"/>
      <c r="L173" s="59">
        <f>+J173*1.15</f>
        <v>4024.9999999999995</v>
      </c>
      <c r="M173" s="41"/>
      <c r="N173" s="41">
        <f>+L173*0.025</f>
        <v>100.625</v>
      </c>
    </row>
    <row r="174" spans="3:15" x14ac:dyDescent="0.35">
      <c r="C174" s="113" t="s">
        <v>92</v>
      </c>
      <c r="D174" s="114"/>
      <c r="E174" s="114"/>
      <c r="F174" s="114"/>
      <c r="G174" s="114"/>
      <c r="H174" s="114"/>
      <c r="I174" s="28"/>
      <c r="J174" s="42">
        <f>SUM(J172:J173)</f>
        <v>103100</v>
      </c>
      <c r="K174" s="40"/>
      <c r="L174" s="40"/>
      <c r="M174" s="40"/>
      <c r="N174" s="41"/>
    </row>
    <row r="175" spans="3:15" x14ac:dyDescent="0.35">
      <c r="C175" s="115" t="s">
        <v>43</v>
      </c>
      <c r="D175" s="109"/>
      <c r="E175" s="109"/>
      <c r="F175" s="109"/>
      <c r="G175" s="109"/>
      <c r="H175" s="109"/>
      <c r="I175" s="110"/>
      <c r="J175" s="64">
        <f>J174*0.1</f>
        <v>10310</v>
      </c>
      <c r="K175" s="40"/>
      <c r="L175" s="40"/>
      <c r="M175" s="40"/>
      <c r="N175" s="40"/>
    </row>
    <row r="176" spans="3:15" x14ac:dyDescent="0.35">
      <c r="C176" s="115" t="s">
        <v>87</v>
      </c>
      <c r="D176" s="109"/>
      <c r="E176" s="109"/>
      <c r="F176" s="109"/>
      <c r="G176" s="109"/>
      <c r="H176" s="109"/>
      <c r="I176" s="110"/>
      <c r="J176" s="64">
        <f>J174*0.05</f>
        <v>5155</v>
      </c>
      <c r="K176" s="40"/>
      <c r="L176" s="40"/>
      <c r="M176" s="40"/>
      <c r="N176" s="40"/>
    </row>
    <row r="177" spans="3:14" x14ac:dyDescent="0.35">
      <c r="C177" s="108" t="s">
        <v>24</v>
      </c>
      <c r="D177" s="109"/>
      <c r="E177" s="109"/>
      <c r="F177" s="109"/>
      <c r="G177" s="109"/>
      <c r="H177" s="109"/>
      <c r="I177" s="110"/>
      <c r="J177" s="42">
        <f>SUM(J174:J176)</f>
        <v>118565</v>
      </c>
      <c r="K177" s="44"/>
      <c r="L177" s="44">
        <f>SUM(L172:L176)</f>
        <v>118564.99999999999</v>
      </c>
      <c r="M177" s="44"/>
      <c r="N177" s="43">
        <f>SUM(N172:N176)</f>
        <v>2964.125</v>
      </c>
    </row>
    <row r="178" spans="3:14" ht="30" customHeight="1" x14ac:dyDescent="0.35">
      <c r="C178" s="39"/>
      <c r="D178" s="19" t="s">
        <v>204</v>
      </c>
      <c r="E178" s="106" t="s">
        <v>150</v>
      </c>
      <c r="F178" s="107"/>
      <c r="G178" s="19"/>
      <c r="H178" s="19"/>
      <c r="I178" s="25"/>
      <c r="J178" s="66"/>
      <c r="K178" s="40"/>
      <c r="L178" s="40"/>
      <c r="M178" s="41"/>
      <c r="N178" s="41"/>
    </row>
    <row r="179" spans="3:14" ht="29.25" customHeight="1" x14ac:dyDescent="0.35">
      <c r="C179" s="39">
        <v>1</v>
      </c>
      <c r="D179" s="63"/>
      <c r="E179" s="118" t="s">
        <v>155</v>
      </c>
      <c r="F179" s="119"/>
      <c r="G179" s="19" t="s">
        <v>4</v>
      </c>
      <c r="H179" s="19">
        <v>4720</v>
      </c>
      <c r="I179" s="25">
        <v>250</v>
      </c>
      <c r="J179" s="64">
        <f>I179*H179</f>
        <v>1180000</v>
      </c>
      <c r="K179" s="40"/>
      <c r="L179" s="59">
        <f>+J179*1.15</f>
        <v>1357000</v>
      </c>
      <c r="M179" s="41"/>
      <c r="N179" s="41">
        <f>+L179*0.025</f>
        <v>33925</v>
      </c>
    </row>
    <row r="180" spans="3:14" ht="28.5" customHeight="1" x14ac:dyDescent="0.35">
      <c r="C180" s="39">
        <v>2</v>
      </c>
      <c r="D180" s="63"/>
      <c r="E180" s="118" t="s">
        <v>154</v>
      </c>
      <c r="F180" s="119"/>
      <c r="G180" s="19" t="s">
        <v>3</v>
      </c>
      <c r="H180" s="19">
        <v>42</v>
      </c>
      <c r="I180" s="25">
        <v>500</v>
      </c>
      <c r="J180" s="64">
        <f>I180*H180</f>
        <v>21000</v>
      </c>
      <c r="K180" s="40"/>
      <c r="L180" s="59">
        <f>+J180*1.15</f>
        <v>24149.999999999996</v>
      </c>
      <c r="M180" s="41"/>
      <c r="N180" s="41">
        <f>+L180*0.025</f>
        <v>603.74999999999989</v>
      </c>
    </row>
    <row r="181" spans="3:14" x14ac:dyDescent="0.35">
      <c r="C181" s="113" t="s">
        <v>151</v>
      </c>
      <c r="D181" s="114"/>
      <c r="E181" s="114"/>
      <c r="F181" s="114"/>
      <c r="G181" s="114"/>
      <c r="H181" s="114"/>
      <c r="I181" s="28"/>
      <c r="J181" s="42">
        <f>SUM(J179:J180)</f>
        <v>1201000</v>
      </c>
      <c r="K181" s="40"/>
      <c r="L181" s="40"/>
      <c r="M181" s="41"/>
      <c r="N181" s="41"/>
    </row>
    <row r="182" spans="3:14" x14ac:dyDescent="0.35">
      <c r="C182" s="115" t="s">
        <v>43</v>
      </c>
      <c r="D182" s="109"/>
      <c r="E182" s="109"/>
      <c r="F182" s="109"/>
      <c r="G182" s="109"/>
      <c r="H182" s="109"/>
      <c r="I182" s="110"/>
      <c r="J182" s="64">
        <f>J181*0.1</f>
        <v>120100</v>
      </c>
      <c r="K182" s="40"/>
      <c r="L182" s="40"/>
      <c r="M182" s="41"/>
      <c r="N182" s="41"/>
    </row>
    <row r="183" spans="3:14" x14ac:dyDescent="0.35">
      <c r="C183" s="115" t="s">
        <v>87</v>
      </c>
      <c r="D183" s="109"/>
      <c r="E183" s="109"/>
      <c r="F183" s="109"/>
      <c r="G183" s="109"/>
      <c r="H183" s="109"/>
      <c r="I183" s="110"/>
      <c r="J183" s="64">
        <f>J181*0.05</f>
        <v>60050</v>
      </c>
      <c r="K183" s="40"/>
      <c r="L183" s="40"/>
      <c r="M183" s="41"/>
      <c r="N183" s="41"/>
    </row>
    <row r="184" spans="3:14" x14ac:dyDescent="0.35">
      <c r="C184" s="108" t="s">
        <v>24</v>
      </c>
      <c r="D184" s="109"/>
      <c r="E184" s="109"/>
      <c r="F184" s="109"/>
      <c r="G184" s="109"/>
      <c r="H184" s="109"/>
      <c r="I184" s="110"/>
      <c r="J184" s="42">
        <f>SUM(J181:J183)</f>
        <v>1381150</v>
      </c>
      <c r="K184" s="45"/>
      <c r="L184" s="43">
        <f>SUM(L179:L183)</f>
        <v>1381150</v>
      </c>
      <c r="M184" s="43"/>
      <c r="N184" s="43">
        <f>SUM(N179:N183)</f>
        <v>34528.75</v>
      </c>
    </row>
    <row r="185" spans="3:14" ht="27.75" customHeight="1" x14ac:dyDescent="0.35">
      <c r="C185" s="39"/>
      <c r="D185" s="19" t="s">
        <v>205</v>
      </c>
      <c r="E185" s="147" t="s">
        <v>206</v>
      </c>
      <c r="F185" s="147"/>
      <c r="G185" s="19"/>
      <c r="H185" s="33"/>
      <c r="I185" s="46"/>
      <c r="J185" s="71"/>
      <c r="K185" s="40"/>
      <c r="L185" s="40"/>
      <c r="M185" s="40"/>
      <c r="N185" s="40"/>
    </row>
    <row r="186" spans="3:14" ht="26.25" customHeight="1" x14ac:dyDescent="0.35">
      <c r="C186" s="39">
        <v>1</v>
      </c>
      <c r="D186" s="19"/>
      <c r="E186" s="148" t="s">
        <v>94</v>
      </c>
      <c r="F186" s="148"/>
      <c r="G186" s="19" t="s">
        <v>4</v>
      </c>
      <c r="H186" s="33">
        <v>2380</v>
      </c>
      <c r="I186" s="47">
        <v>200</v>
      </c>
      <c r="J186" s="41">
        <f>H186*I186</f>
        <v>476000</v>
      </c>
      <c r="K186" s="40"/>
      <c r="L186" s="59">
        <f>+J186*1.15</f>
        <v>547400</v>
      </c>
      <c r="M186" s="41"/>
      <c r="N186" s="41">
        <f>+L186*0.025</f>
        <v>13685</v>
      </c>
    </row>
    <row r="187" spans="3:14" ht="30" customHeight="1" x14ac:dyDescent="0.35">
      <c r="C187" s="39">
        <v>2</v>
      </c>
      <c r="D187" s="19"/>
      <c r="E187" s="118" t="s">
        <v>91</v>
      </c>
      <c r="F187" s="119"/>
      <c r="G187" s="19" t="s">
        <v>5</v>
      </c>
      <c r="H187" s="19">
        <v>8</v>
      </c>
      <c r="I187" s="25">
        <v>500</v>
      </c>
      <c r="J187" s="64">
        <f>I187*H187</f>
        <v>4000</v>
      </c>
      <c r="K187" s="40"/>
      <c r="L187" s="59">
        <f>+J187*1.15</f>
        <v>4600</v>
      </c>
      <c r="M187" s="41"/>
      <c r="N187" s="41">
        <f>+L187*0.025</f>
        <v>115</v>
      </c>
    </row>
    <row r="188" spans="3:14" ht="15" customHeight="1" x14ac:dyDescent="0.35">
      <c r="C188" s="113" t="s">
        <v>95</v>
      </c>
      <c r="D188" s="114"/>
      <c r="E188" s="114"/>
      <c r="F188" s="114"/>
      <c r="G188" s="114"/>
      <c r="H188" s="114"/>
      <c r="I188" s="28"/>
      <c r="J188" s="42">
        <f>SUM(J186:J187)</f>
        <v>480000</v>
      </c>
      <c r="K188" s="40"/>
      <c r="L188" s="40"/>
      <c r="M188" s="40"/>
      <c r="N188" s="41"/>
    </row>
    <row r="189" spans="3:14" ht="15" customHeight="1" x14ac:dyDescent="0.35">
      <c r="C189" s="115" t="s">
        <v>43</v>
      </c>
      <c r="D189" s="109"/>
      <c r="E189" s="109"/>
      <c r="F189" s="109"/>
      <c r="G189" s="109"/>
      <c r="H189" s="109"/>
      <c r="I189" s="110"/>
      <c r="J189" s="64">
        <f>J188*0.1</f>
        <v>48000</v>
      </c>
      <c r="K189" s="40"/>
      <c r="L189" s="40"/>
      <c r="M189" s="40"/>
      <c r="N189" s="40"/>
    </row>
    <row r="190" spans="3:14" ht="15" customHeight="1" x14ac:dyDescent="0.35">
      <c r="C190" s="115" t="s">
        <v>87</v>
      </c>
      <c r="D190" s="109"/>
      <c r="E190" s="109"/>
      <c r="F190" s="109"/>
      <c r="G190" s="109"/>
      <c r="H190" s="109"/>
      <c r="I190" s="110"/>
      <c r="J190" s="64">
        <f>J188*0.05</f>
        <v>24000</v>
      </c>
      <c r="K190" s="40"/>
      <c r="L190" s="40"/>
      <c r="M190" s="40"/>
      <c r="N190" s="40"/>
    </row>
    <row r="191" spans="3:14" ht="15" customHeight="1" x14ac:dyDescent="0.35">
      <c r="C191" s="108" t="s">
        <v>24</v>
      </c>
      <c r="D191" s="109"/>
      <c r="E191" s="109"/>
      <c r="F191" s="109"/>
      <c r="G191" s="109"/>
      <c r="H191" s="109"/>
      <c r="I191" s="110"/>
      <c r="J191" s="42">
        <f>SUM(J188:J190)</f>
        <v>552000</v>
      </c>
      <c r="K191" s="44"/>
      <c r="L191" s="44">
        <f>SUM(L186:L190)</f>
        <v>552000</v>
      </c>
      <c r="M191" s="44"/>
      <c r="N191" s="43">
        <f>SUM(N186:N190)</f>
        <v>13800</v>
      </c>
    </row>
    <row r="192" spans="3:14" x14ac:dyDescent="0.35">
      <c r="C192" s="108" t="s">
        <v>152</v>
      </c>
      <c r="D192" s="109"/>
      <c r="E192" s="109"/>
      <c r="F192" s="109"/>
      <c r="G192" s="109"/>
      <c r="H192" s="109"/>
      <c r="I192" s="110"/>
      <c r="J192" s="42">
        <f>+J170+J177+J184+J191</f>
        <v>2603715</v>
      </c>
      <c r="K192" s="42"/>
      <c r="L192" s="42">
        <f t="shared" ref="L192:N192" si="6">+L170+L177+L184+L191</f>
        <v>2603715</v>
      </c>
      <c r="M192" s="42"/>
      <c r="N192" s="42">
        <f t="shared" si="6"/>
        <v>65092.875</v>
      </c>
    </row>
    <row r="193" spans="3:14" x14ac:dyDescent="0.35">
      <c r="C193" s="121" t="s">
        <v>96</v>
      </c>
      <c r="D193" s="120"/>
      <c r="E193" s="120"/>
      <c r="F193" s="120"/>
      <c r="G193" s="120"/>
      <c r="H193" s="120"/>
      <c r="I193" s="120"/>
      <c r="J193" s="120"/>
      <c r="K193" s="23"/>
      <c r="L193" s="23"/>
      <c r="M193" s="23"/>
      <c r="N193" s="23"/>
    </row>
    <row r="194" spans="3:14" ht="26.25" customHeight="1" x14ac:dyDescent="0.35">
      <c r="C194" s="24"/>
      <c r="D194" s="19" t="s">
        <v>98</v>
      </c>
      <c r="E194" s="106" t="s">
        <v>156</v>
      </c>
      <c r="F194" s="107"/>
      <c r="G194" s="24"/>
      <c r="H194" s="24"/>
      <c r="I194" s="32"/>
      <c r="J194" s="64"/>
      <c r="K194" s="18"/>
      <c r="L194" s="18"/>
      <c r="M194" s="18"/>
      <c r="N194" s="27"/>
    </row>
    <row r="195" spans="3:14" ht="26.25" customHeight="1" x14ac:dyDescent="0.35">
      <c r="C195" s="24">
        <v>1</v>
      </c>
      <c r="D195" s="19"/>
      <c r="E195" s="118" t="s">
        <v>157</v>
      </c>
      <c r="F195" s="119"/>
      <c r="G195" s="19"/>
      <c r="H195" s="19"/>
      <c r="I195" s="25"/>
      <c r="J195" s="64"/>
      <c r="K195" s="18"/>
      <c r="L195" s="18"/>
      <c r="M195" s="27"/>
      <c r="N195" s="27"/>
    </row>
    <row r="196" spans="3:14" ht="66" customHeight="1" x14ac:dyDescent="0.35">
      <c r="C196" s="24">
        <v>2</v>
      </c>
      <c r="D196" s="19"/>
      <c r="E196" s="118" t="s">
        <v>158</v>
      </c>
      <c r="F196" s="119"/>
      <c r="G196" s="24" t="s">
        <v>73</v>
      </c>
      <c r="H196" s="19">
        <v>1</v>
      </c>
      <c r="I196" s="25">
        <v>55000</v>
      </c>
      <c r="J196" s="64">
        <f>I196*H196</f>
        <v>55000</v>
      </c>
      <c r="K196" s="18">
        <f>+J196*1.15</f>
        <v>63249.999999999993</v>
      </c>
      <c r="L196" s="18"/>
      <c r="M196" s="27">
        <f>+K196*0.067</f>
        <v>4237.75</v>
      </c>
      <c r="N196" s="26"/>
    </row>
    <row r="197" spans="3:14" x14ac:dyDescent="0.35">
      <c r="C197" s="113" t="s">
        <v>159</v>
      </c>
      <c r="D197" s="114"/>
      <c r="E197" s="114"/>
      <c r="F197" s="114"/>
      <c r="G197" s="114"/>
      <c r="H197" s="114"/>
      <c r="I197" s="28"/>
      <c r="J197" s="42">
        <f>SUM(J196:J196)</f>
        <v>55000</v>
      </c>
      <c r="K197" s="18"/>
      <c r="L197" s="18"/>
      <c r="M197" s="27"/>
      <c r="N197" s="27"/>
    </row>
    <row r="198" spans="3:14" x14ac:dyDescent="0.35">
      <c r="C198" s="115" t="s">
        <v>43</v>
      </c>
      <c r="D198" s="109"/>
      <c r="E198" s="109"/>
      <c r="F198" s="109"/>
      <c r="G198" s="109"/>
      <c r="H198" s="109"/>
      <c r="I198" s="110"/>
      <c r="J198" s="64">
        <f>J197*0.1</f>
        <v>5500</v>
      </c>
      <c r="K198" s="18"/>
      <c r="L198" s="18"/>
      <c r="M198" s="27"/>
      <c r="N198" s="27"/>
    </row>
    <row r="199" spans="3:14" x14ac:dyDescent="0.35">
      <c r="C199" s="115" t="s">
        <v>51</v>
      </c>
      <c r="D199" s="109"/>
      <c r="E199" s="109"/>
      <c r="F199" s="109"/>
      <c r="G199" s="109"/>
      <c r="H199" s="109"/>
      <c r="I199" s="110"/>
      <c r="J199" s="64">
        <f>J197*0.05</f>
        <v>2750</v>
      </c>
      <c r="K199" s="18"/>
      <c r="L199" s="18"/>
      <c r="M199" s="23"/>
      <c r="N199" s="27"/>
    </row>
    <row r="200" spans="3:14" x14ac:dyDescent="0.35">
      <c r="C200" s="108" t="s">
        <v>24</v>
      </c>
      <c r="D200" s="109"/>
      <c r="E200" s="109"/>
      <c r="F200" s="109"/>
      <c r="G200" s="109"/>
      <c r="H200" s="109"/>
      <c r="I200" s="110"/>
      <c r="J200" s="42">
        <f>SUM(J197:J199)</f>
        <v>63250</v>
      </c>
      <c r="K200" s="23">
        <f>SUM(K196:K199)</f>
        <v>63249.999999999993</v>
      </c>
      <c r="L200" s="23"/>
      <c r="M200" s="23">
        <f>SUM(M196:M199)</f>
        <v>4237.75</v>
      </c>
      <c r="N200" s="23"/>
    </row>
    <row r="201" spans="3:14" x14ac:dyDescent="0.35">
      <c r="C201" s="39"/>
      <c r="D201" s="19" t="s">
        <v>252</v>
      </c>
      <c r="E201" s="106" t="s">
        <v>97</v>
      </c>
      <c r="F201" s="107"/>
      <c r="G201" s="19"/>
      <c r="H201" s="19"/>
      <c r="I201" s="25"/>
      <c r="J201" s="69"/>
      <c r="K201" s="16"/>
      <c r="L201" s="16"/>
      <c r="M201" s="16"/>
      <c r="N201" s="16"/>
    </row>
    <row r="202" spans="3:14" ht="14.25" customHeight="1" x14ac:dyDescent="0.35">
      <c r="C202" s="39">
        <v>1</v>
      </c>
      <c r="D202" s="74"/>
      <c r="E202" s="118" t="s">
        <v>208</v>
      </c>
      <c r="F202" s="119"/>
      <c r="G202" s="19" t="s">
        <v>4</v>
      </c>
      <c r="H202" s="19">
        <v>2370</v>
      </c>
      <c r="I202" s="25">
        <v>100</v>
      </c>
      <c r="J202" s="64">
        <f>I202*H202</f>
        <v>237000</v>
      </c>
      <c r="K202" s="40"/>
      <c r="L202" s="59">
        <f>+J202*1.15</f>
        <v>272550</v>
      </c>
      <c r="M202" s="41"/>
      <c r="N202" s="41">
        <f>+L202*0.025</f>
        <v>6813.75</v>
      </c>
    </row>
    <row r="203" spans="3:14" ht="30" customHeight="1" x14ac:dyDescent="0.35">
      <c r="C203" s="39">
        <v>2</v>
      </c>
      <c r="D203" s="74"/>
      <c r="E203" s="118" t="s">
        <v>91</v>
      </c>
      <c r="F203" s="119"/>
      <c r="G203" s="19" t="s">
        <v>5</v>
      </c>
      <c r="H203" s="19">
        <v>12</v>
      </c>
      <c r="I203" s="25">
        <v>500</v>
      </c>
      <c r="J203" s="64">
        <f>I203*H203</f>
        <v>6000</v>
      </c>
      <c r="K203" s="40"/>
      <c r="L203" s="59">
        <f>+J203*1.15</f>
        <v>6899.9999999999991</v>
      </c>
      <c r="M203" s="41"/>
      <c r="N203" s="41">
        <f>+L203*0.025</f>
        <v>172.5</v>
      </c>
    </row>
    <row r="204" spans="3:14" x14ac:dyDescent="0.35">
      <c r="C204" s="113" t="s">
        <v>92</v>
      </c>
      <c r="D204" s="114"/>
      <c r="E204" s="114"/>
      <c r="F204" s="114"/>
      <c r="G204" s="114"/>
      <c r="H204" s="114"/>
      <c r="I204" s="28"/>
      <c r="J204" s="42">
        <f>SUM(J202:J203)</f>
        <v>243000</v>
      </c>
      <c r="K204" s="40"/>
      <c r="L204" s="40"/>
      <c r="M204" s="40"/>
      <c r="N204" s="41"/>
    </row>
    <row r="205" spans="3:14" x14ac:dyDescent="0.35">
      <c r="C205" s="115" t="s">
        <v>43</v>
      </c>
      <c r="D205" s="109"/>
      <c r="E205" s="109"/>
      <c r="F205" s="109"/>
      <c r="G205" s="109"/>
      <c r="H205" s="109"/>
      <c r="I205" s="110"/>
      <c r="J205" s="64">
        <f>J204*0.1</f>
        <v>24300</v>
      </c>
      <c r="K205" s="40"/>
      <c r="L205" s="40"/>
      <c r="M205" s="40"/>
      <c r="N205" s="40"/>
    </row>
    <row r="206" spans="3:14" x14ac:dyDescent="0.35">
      <c r="C206" s="115" t="s">
        <v>87</v>
      </c>
      <c r="D206" s="109"/>
      <c r="E206" s="109"/>
      <c r="F206" s="109"/>
      <c r="G206" s="109"/>
      <c r="H206" s="109"/>
      <c r="I206" s="110"/>
      <c r="J206" s="64">
        <f>J204*0.05</f>
        <v>12150</v>
      </c>
      <c r="K206" s="40"/>
      <c r="L206" s="40"/>
      <c r="M206" s="40"/>
      <c r="N206" s="40"/>
    </row>
    <row r="207" spans="3:14" x14ac:dyDescent="0.35">
      <c r="C207" s="108" t="s">
        <v>24</v>
      </c>
      <c r="D207" s="109"/>
      <c r="E207" s="109"/>
      <c r="F207" s="109"/>
      <c r="G207" s="109"/>
      <c r="H207" s="109"/>
      <c r="I207" s="110"/>
      <c r="J207" s="42">
        <f>SUM(J204:J206)</f>
        <v>279450</v>
      </c>
      <c r="K207" s="44"/>
      <c r="L207" s="44">
        <f>SUM(L202:L206)</f>
        <v>279450</v>
      </c>
      <c r="M207" s="44"/>
      <c r="N207" s="43">
        <f>SUM(N202:N206)</f>
        <v>6986.25</v>
      </c>
    </row>
    <row r="208" spans="3:14" ht="27.75" customHeight="1" x14ac:dyDescent="0.35">
      <c r="C208" s="17"/>
      <c r="D208" s="19" t="s">
        <v>136</v>
      </c>
      <c r="E208" s="106" t="s">
        <v>240</v>
      </c>
      <c r="F208" s="107"/>
      <c r="G208" s="19"/>
      <c r="H208" s="19"/>
      <c r="I208" s="19"/>
      <c r="J208" s="63"/>
      <c r="K208" s="22"/>
      <c r="L208" s="23"/>
      <c r="M208" s="22"/>
      <c r="N208" s="23"/>
    </row>
    <row r="209" spans="3:14" ht="26" x14ac:dyDescent="0.35">
      <c r="C209" s="24">
        <v>1</v>
      </c>
      <c r="D209" s="19"/>
      <c r="E209" s="118" t="s">
        <v>241</v>
      </c>
      <c r="F209" s="119"/>
      <c r="G209" s="24" t="s">
        <v>73</v>
      </c>
      <c r="H209" s="19">
        <v>2</v>
      </c>
      <c r="I209" s="25">
        <v>3000</v>
      </c>
      <c r="J209" s="64">
        <f>I209*H209</f>
        <v>6000</v>
      </c>
      <c r="K209" s="18">
        <f>+J209*1.15</f>
        <v>6899.9999999999991</v>
      </c>
      <c r="L209" s="18"/>
      <c r="M209" s="27">
        <f>+K209*0.067</f>
        <v>462.29999999999995</v>
      </c>
      <c r="N209" s="27"/>
    </row>
    <row r="210" spans="3:14" x14ac:dyDescent="0.35">
      <c r="C210" s="113" t="s">
        <v>137</v>
      </c>
      <c r="D210" s="114"/>
      <c r="E210" s="114"/>
      <c r="F210" s="114"/>
      <c r="G210" s="114"/>
      <c r="H210" s="114"/>
      <c r="I210" s="28"/>
      <c r="J210" s="42">
        <f>SUM(J209:J209)</f>
        <v>6000</v>
      </c>
      <c r="K210" s="18"/>
      <c r="L210" s="23"/>
      <c r="M210" s="23"/>
      <c r="N210" s="23"/>
    </row>
    <row r="211" spans="3:14" x14ac:dyDescent="0.35">
      <c r="C211" s="115" t="s">
        <v>43</v>
      </c>
      <c r="D211" s="109"/>
      <c r="E211" s="109"/>
      <c r="F211" s="109"/>
      <c r="G211" s="109"/>
      <c r="H211" s="109"/>
      <c r="I211" s="110"/>
      <c r="J211" s="64">
        <f>J210*0.1</f>
        <v>600</v>
      </c>
      <c r="K211" s="18"/>
      <c r="L211" s="27"/>
      <c r="M211" s="27"/>
      <c r="N211" s="27"/>
    </row>
    <row r="212" spans="3:14" x14ac:dyDescent="0.35">
      <c r="C212" s="115" t="s">
        <v>51</v>
      </c>
      <c r="D212" s="109"/>
      <c r="E212" s="109"/>
      <c r="F212" s="109"/>
      <c r="G212" s="109"/>
      <c r="H212" s="109"/>
      <c r="I212" s="110"/>
      <c r="J212" s="64">
        <f>J210*0.05</f>
        <v>300</v>
      </c>
      <c r="K212" s="18"/>
      <c r="L212" s="27"/>
      <c r="M212" s="27"/>
      <c r="N212" s="27"/>
    </row>
    <row r="213" spans="3:14" x14ac:dyDescent="0.35">
      <c r="C213" s="108" t="s">
        <v>24</v>
      </c>
      <c r="D213" s="109"/>
      <c r="E213" s="109"/>
      <c r="F213" s="109"/>
      <c r="G213" s="109"/>
      <c r="H213" s="109"/>
      <c r="I213" s="110"/>
      <c r="J213" s="42">
        <f>SUM(J210:J212)</f>
        <v>6900</v>
      </c>
      <c r="K213" s="23">
        <f>SUM(K209:K212)</f>
        <v>6899.9999999999991</v>
      </c>
      <c r="L213" s="31"/>
      <c r="M213" s="31">
        <f>SUM(M209:M212)</f>
        <v>462.29999999999995</v>
      </c>
      <c r="N213" s="31"/>
    </row>
    <row r="214" spans="3:14" ht="30" customHeight="1" x14ac:dyDescent="0.35">
      <c r="C214" s="39"/>
      <c r="D214" s="19" t="s">
        <v>209</v>
      </c>
      <c r="E214" s="147" t="s">
        <v>292</v>
      </c>
      <c r="F214" s="147"/>
      <c r="G214" s="19"/>
      <c r="H214" s="33"/>
      <c r="I214" s="46"/>
      <c r="J214" s="71"/>
      <c r="K214" s="40"/>
      <c r="L214" s="40"/>
      <c r="M214" s="40"/>
      <c r="N214" s="40"/>
    </row>
    <row r="215" spans="3:14" ht="27.75" customHeight="1" x14ac:dyDescent="0.35">
      <c r="C215" s="39">
        <v>1</v>
      </c>
      <c r="D215" s="63"/>
      <c r="E215" s="148" t="s">
        <v>94</v>
      </c>
      <c r="F215" s="148"/>
      <c r="G215" s="19" t="s">
        <v>4</v>
      </c>
      <c r="H215" s="33">
        <v>3290</v>
      </c>
      <c r="I215" s="47">
        <v>200</v>
      </c>
      <c r="J215" s="41">
        <f>H215*I215</f>
        <v>658000</v>
      </c>
      <c r="K215" s="40"/>
      <c r="L215" s="59">
        <f>+J215*1.15</f>
        <v>756699.99999999988</v>
      </c>
      <c r="M215" s="41"/>
      <c r="N215" s="41">
        <f>+L215*0.025</f>
        <v>18917.499999999996</v>
      </c>
    </row>
    <row r="216" spans="3:14" ht="26.25" customHeight="1" x14ac:dyDescent="0.35">
      <c r="C216" s="39">
        <v>2</v>
      </c>
      <c r="D216" s="63"/>
      <c r="E216" s="118" t="s">
        <v>91</v>
      </c>
      <c r="F216" s="119"/>
      <c r="G216" s="19" t="s">
        <v>5</v>
      </c>
      <c r="H216" s="19">
        <v>10</v>
      </c>
      <c r="I216" s="25">
        <v>500</v>
      </c>
      <c r="J216" s="64">
        <f>I216*H216</f>
        <v>5000</v>
      </c>
      <c r="K216" s="40"/>
      <c r="L216" s="59">
        <f>+J216*1.15</f>
        <v>5750</v>
      </c>
      <c r="M216" s="41"/>
      <c r="N216" s="41">
        <f>+L216*0.025</f>
        <v>143.75</v>
      </c>
    </row>
    <row r="217" spans="3:14" x14ac:dyDescent="0.35">
      <c r="C217" s="113" t="s">
        <v>103</v>
      </c>
      <c r="D217" s="114"/>
      <c r="E217" s="114"/>
      <c r="F217" s="114"/>
      <c r="G217" s="114"/>
      <c r="H217" s="114"/>
      <c r="I217" s="28"/>
      <c r="J217" s="42">
        <f>SUM(J215:J216)</f>
        <v>663000</v>
      </c>
      <c r="K217" s="40"/>
      <c r="L217" s="40"/>
      <c r="M217" s="40"/>
      <c r="N217" s="41"/>
    </row>
    <row r="218" spans="3:14" x14ac:dyDescent="0.35">
      <c r="C218" s="115" t="s">
        <v>43</v>
      </c>
      <c r="D218" s="109"/>
      <c r="E218" s="109"/>
      <c r="F218" s="109"/>
      <c r="G218" s="109"/>
      <c r="H218" s="109"/>
      <c r="I218" s="110"/>
      <c r="J218" s="64">
        <f>J217*0.1</f>
        <v>66300</v>
      </c>
      <c r="K218" s="40"/>
      <c r="L218" s="40"/>
      <c r="M218" s="40"/>
      <c r="N218" s="40"/>
    </row>
    <row r="219" spans="3:14" x14ac:dyDescent="0.35">
      <c r="C219" s="115" t="s">
        <v>87</v>
      </c>
      <c r="D219" s="109"/>
      <c r="E219" s="109"/>
      <c r="F219" s="109"/>
      <c r="G219" s="109"/>
      <c r="H219" s="109"/>
      <c r="I219" s="110"/>
      <c r="J219" s="64">
        <f>J217*0.05</f>
        <v>33150</v>
      </c>
      <c r="K219" s="40"/>
      <c r="L219" s="40"/>
      <c r="M219" s="40"/>
      <c r="N219" s="40"/>
    </row>
    <row r="220" spans="3:14" x14ac:dyDescent="0.35">
      <c r="C220" s="108" t="s">
        <v>24</v>
      </c>
      <c r="D220" s="109"/>
      <c r="E220" s="109"/>
      <c r="F220" s="109"/>
      <c r="G220" s="109"/>
      <c r="H220" s="109"/>
      <c r="I220" s="110"/>
      <c r="J220" s="42">
        <f>SUM(J217:J219)</f>
        <v>762450</v>
      </c>
      <c r="K220" s="44"/>
      <c r="L220" s="44">
        <f>SUM(L215:L219)</f>
        <v>762449.99999999988</v>
      </c>
      <c r="M220" s="44"/>
      <c r="N220" s="43">
        <f>SUM(N215:N219)</f>
        <v>19061.249999999996</v>
      </c>
    </row>
    <row r="221" spans="3:14" ht="28.5" customHeight="1" x14ac:dyDescent="0.35">
      <c r="C221" s="24"/>
      <c r="D221" s="19" t="s">
        <v>160</v>
      </c>
      <c r="E221" s="106" t="s">
        <v>161</v>
      </c>
      <c r="F221" s="107"/>
      <c r="G221" s="19"/>
      <c r="H221" s="19"/>
      <c r="I221" s="25"/>
      <c r="J221" s="64"/>
      <c r="K221" s="25"/>
      <c r="L221" s="25"/>
      <c r="M221" s="26"/>
      <c r="N221" s="26"/>
    </row>
    <row r="222" spans="3:14" ht="206.25" customHeight="1" x14ac:dyDescent="0.35">
      <c r="C222" s="24">
        <v>1</v>
      </c>
      <c r="D222" s="63"/>
      <c r="E222" s="118" t="s">
        <v>162</v>
      </c>
      <c r="F222" s="119"/>
      <c r="G222" s="24" t="s">
        <v>65</v>
      </c>
      <c r="H222" s="19">
        <v>1</v>
      </c>
      <c r="I222" s="25">
        <v>50000</v>
      </c>
      <c r="J222" s="64">
        <v>50000</v>
      </c>
      <c r="K222" s="27">
        <f>+J222*1.15/2</f>
        <v>28749.999999999996</v>
      </c>
      <c r="L222" s="25">
        <f>+J222*1.15/2</f>
        <v>28749.999999999996</v>
      </c>
      <c r="M222" s="27">
        <f t="shared" ref="M222" si="7">+K222*0.067</f>
        <v>1926.2499999999998</v>
      </c>
      <c r="N222" s="26">
        <f>+L222*0.025</f>
        <v>718.75</v>
      </c>
    </row>
    <row r="223" spans="3:14" x14ac:dyDescent="0.35">
      <c r="C223" s="113" t="s">
        <v>163</v>
      </c>
      <c r="D223" s="114"/>
      <c r="E223" s="114"/>
      <c r="F223" s="114"/>
      <c r="G223" s="114"/>
      <c r="H223" s="114"/>
      <c r="I223" s="28"/>
      <c r="J223" s="42">
        <f>SUM(J222:J222)</f>
        <v>50000</v>
      </c>
      <c r="K223" s="18"/>
      <c r="L223" s="23"/>
      <c r="M223" s="23"/>
      <c r="N223" s="23"/>
    </row>
    <row r="224" spans="3:14" x14ac:dyDescent="0.35">
      <c r="C224" s="115" t="s">
        <v>43</v>
      </c>
      <c r="D224" s="109"/>
      <c r="E224" s="109"/>
      <c r="F224" s="109"/>
      <c r="G224" s="109"/>
      <c r="H224" s="109"/>
      <c r="I224" s="110"/>
      <c r="J224" s="64">
        <f>J223*0.1</f>
        <v>5000</v>
      </c>
      <c r="K224" s="18"/>
      <c r="L224" s="27"/>
      <c r="M224" s="27"/>
      <c r="N224" s="27"/>
    </row>
    <row r="225" spans="3:15" x14ac:dyDescent="0.35">
      <c r="C225" s="115" t="s">
        <v>51</v>
      </c>
      <c r="D225" s="109"/>
      <c r="E225" s="109"/>
      <c r="F225" s="109"/>
      <c r="G225" s="109"/>
      <c r="H225" s="109"/>
      <c r="I225" s="110"/>
      <c r="J225" s="64">
        <f>J223*0.05</f>
        <v>2500</v>
      </c>
      <c r="K225" s="18"/>
      <c r="L225" s="27"/>
      <c r="M225" s="27"/>
      <c r="N225" s="27"/>
    </row>
    <row r="226" spans="3:15" x14ac:dyDescent="0.35">
      <c r="C226" s="108" t="s">
        <v>24</v>
      </c>
      <c r="D226" s="109"/>
      <c r="E226" s="109"/>
      <c r="F226" s="109"/>
      <c r="G226" s="109"/>
      <c r="H226" s="109"/>
      <c r="I226" s="110"/>
      <c r="J226" s="42">
        <f>SUM(J223:J225)</f>
        <v>57500</v>
      </c>
      <c r="K226" s="23">
        <f>SUM(K222:K225)</f>
        <v>28749.999999999996</v>
      </c>
      <c r="L226" s="23">
        <f>SUM(L222:L225)</f>
        <v>28749.999999999996</v>
      </c>
      <c r="M226" s="23">
        <f>SUM(M222:M225)</f>
        <v>1926.2499999999998</v>
      </c>
      <c r="N226" s="23">
        <f>SUM(N222:N225)</f>
        <v>718.75</v>
      </c>
    </row>
    <row r="227" spans="3:15" x14ac:dyDescent="0.35">
      <c r="C227" s="108" t="s">
        <v>164</v>
      </c>
      <c r="D227" s="122"/>
      <c r="E227" s="122"/>
      <c r="F227" s="122"/>
      <c r="G227" s="122"/>
      <c r="H227" s="122"/>
      <c r="I227" s="123"/>
      <c r="J227" s="42">
        <f>+J200+J207+J213+J220+J226</f>
        <v>1169550</v>
      </c>
      <c r="K227" s="23">
        <f>+K200+K207+K213+K220+K226</f>
        <v>98899.999999999985</v>
      </c>
      <c r="L227" s="23">
        <f>+L200+L207+L213+L220+L226</f>
        <v>1070649.9999999998</v>
      </c>
      <c r="M227" s="23">
        <f>+M200+M207+M213+M220+M226</f>
        <v>6626.3</v>
      </c>
      <c r="N227" s="23">
        <f>+N200+N207+N213+N220+N226</f>
        <v>26766.249999999996</v>
      </c>
      <c r="O227" s="49"/>
    </row>
    <row r="228" spans="3:15" ht="15.75" customHeight="1" x14ac:dyDescent="0.35">
      <c r="C228" s="121" t="s">
        <v>102</v>
      </c>
      <c r="D228" s="120"/>
      <c r="E228" s="120"/>
      <c r="F228" s="120"/>
      <c r="G228" s="120"/>
      <c r="H228" s="120"/>
      <c r="I228" s="120"/>
      <c r="J228" s="120"/>
      <c r="K228" s="23"/>
      <c r="L228" s="23"/>
      <c r="M228" s="23"/>
      <c r="N228" s="23"/>
    </row>
    <row r="229" spans="3:15" ht="30.75" customHeight="1" x14ac:dyDescent="0.35">
      <c r="C229" s="39"/>
      <c r="D229" s="19" t="s">
        <v>210</v>
      </c>
      <c r="E229" s="106" t="s">
        <v>165</v>
      </c>
      <c r="F229" s="107"/>
      <c r="G229" s="19"/>
      <c r="H229" s="19"/>
      <c r="I229" s="19"/>
      <c r="J229" s="68"/>
      <c r="K229" s="16"/>
      <c r="L229" s="16"/>
      <c r="M229" s="16"/>
      <c r="N229" s="16"/>
    </row>
    <row r="230" spans="3:15" ht="29.25" customHeight="1" x14ac:dyDescent="0.35">
      <c r="C230" s="39">
        <v>1</v>
      </c>
      <c r="D230" s="19"/>
      <c r="E230" s="118" t="s">
        <v>167</v>
      </c>
      <c r="F230" s="119"/>
      <c r="G230" s="19" t="s">
        <v>4</v>
      </c>
      <c r="H230" s="19">
        <v>160</v>
      </c>
      <c r="I230" s="25">
        <v>110</v>
      </c>
      <c r="J230" s="64">
        <f>I230*H230</f>
        <v>17600</v>
      </c>
      <c r="K230" s="40"/>
      <c r="L230" s="59">
        <f>+J230*1.15</f>
        <v>20240</v>
      </c>
      <c r="M230" s="41"/>
      <c r="N230" s="41">
        <f>+L230*0.025</f>
        <v>506</v>
      </c>
    </row>
    <row r="231" spans="3:15" ht="27.75" customHeight="1" x14ac:dyDescent="0.35">
      <c r="C231" s="39">
        <v>2</v>
      </c>
      <c r="D231" s="19"/>
      <c r="E231" s="118" t="s">
        <v>170</v>
      </c>
      <c r="F231" s="119"/>
      <c r="G231" s="19" t="s">
        <v>3</v>
      </c>
      <c r="H231" s="19">
        <v>4</v>
      </c>
      <c r="I231" s="25">
        <v>500</v>
      </c>
      <c r="J231" s="64">
        <f>I231*H231</f>
        <v>2000</v>
      </c>
      <c r="K231" s="40"/>
      <c r="L231" s="59">
        <f>+J231*1.15</f>
        <v>2300</v>
      </c>
      <c r="M231" s="41"/>
      <c r="N231" s="41">
        <f>+L231*0.025</f>
        <v>57.5</v>
      </c>
    </row>
    <row r="232" spans="3:15" ht="15" customHeight="1" x14ac:dyDescent="0.35">
      <c r="C232" s="113" t="s">
        <v>171</v>
      </c>
      <c r="D232" s="114"/>
      <c r="E232" s="114"/>
      <c r="F232" s="114"/>
      <c r="G232" s="114"/>
      <c r="H232" s="114"/>
      <c r="I232" s="28"/>
      <c r="J232" s="42">
        <f>SUM(J230:J231)</f>
        <v>19600</v>
      </c>
      <c r="K232" s="40"/>
      <c r="L232" s="42"/>
      <c r="M232" s="42"/>
      <c r="N232" s="42"/>
    </row>
    <row r="233" spans="3:15" ht="15" customHeight="1" x14ac:dyDescent="0.35">
      <c r="C233" s="115" t="s">
        <v>43</v>
      </c>
      <c r="D233" s="109"/>
      <c r="E233" s="109"/>
      <c r="F233" s="109"/>
      <c r="G233" s="109"/>
      <c r="H233" s="109"/>
      <c r="I233" s="110"/>
      <c r="J233" s="64">
        <f>J232*0.1</f>
        <v>1960</v>
      </c>
      <c r="K233" s="40"/>
      <c r="L233" s="41"/>
      <c r="M233" s="41"/>
      <c r="N233" s="41"/>
    </row>
    <row r="234" spans="3:15" ht="15" customHeight="1" x14ac:dyDescent="0.35">
      <c r="C234" s="115" t="s">
        <v>87</v>
      </c>
      <c r="D234" s="109"/>
      <c r="E234" s="109"/>
      <c r="F234" s="109"/>
      <c r="G234" s="109"/>
      <c r="H234" s="109"/>
      <c r="I234" s="110"/>
      <c r="J234" s="64">
        <f>J232*0.05</f>
        <v>980</v>
      </c>
      <c r="K234" s="40"/>
      <c r="L234" s="41"/>
      <c r="M234" s="41"/>
      <c r="N234" s="41"/>
    </row>
    <row r="235" spans="3:15" ht="15" customHeight="1" x14ac:dyDescent="0.35">
      <c r="C235" s="108" t="s">
        <v>24</v>
      </c>
      <c r="D235" s="109"/>
      <c r="E235" s="109"/>
      <c r="F235" s="109"/>
      <c r="G235" s="109"/>
      <c r="H235" s="109"/>
      <c r="I235" s="110"/>
      <c r="J235" s="42">
        <f>SUM(J232:J234)</f>
        <v>22540</v>
      </c>
      <c r="K235" s="40"/>
      <c r="L235" s="43">
        <f>SUM(L230:L234)</f>
        <v>22540</v>
      </c>
      <c r="M235" s="41"/>
      <c r="N235" s="43">
        <f>SUM(N230:N234)</f>
        <v>563.5</v>
      </c>
    </row>
    <row r="236" spans="3:15" ht="30.75" customHeight="1" x14ac:dyDescent="0.35">
      <c r="C236" s="39"/>
      <c r="D236" s="19" t="s">
        <v>211</v>
      </c>
      <c r="E236" s="106" t="s">
        <v>168</v>
      </c>
      <c r="F236" s="107"/>
      <c r="G236" s="19"/>
      <c r="H236" s="19"/>
      <c r="I236" s="19"/>
      <c r="J236" s="68"/>
      <c r="K236" s="16"/>
      <c r="L236" s="16"/>
      <c r="M236" s="16"/>
      <c r="N236" s="16"/>
    </row>
    <row r="237" spans="3:15" ht="29.25" customHeight="1" x14ac:dyDescent="0.35">
      <c r="C237" s="39">
        <v>1</v>
      </c>
      <c r="D237" s="63"/>
      <c r="E237" s="118" t="s">
        <v>169</v>
      </c>
      <c r="F237" s="119"/>
      <c r="G237" s="19" t="s">
        <v>4</v>
      </c>
      <c r="H237" s="19">
        <v>3310</v>
      </c>
      <c r="I237" s="25">
        <v>100</v>
      </c>
      <c r="J237" s="64">
        <f>I237*H237</f>
        <v>331000</v>
      </c>
      <c r="K237" s="40"/>
      <c r="L237" s="59">
        <f>+J237*1.15</f>
        <v>380649.99999999994</v>
      </c>
      <c r="M237" s="41"/>
      <c r="N237" s="41">
        <f>+L237*0.025</f>
        <v>9516.2499999999982</v>
      </c>
    </row>
    <row r="238" spans="3:15" ht="29.25" customHeight="1" x14ac:dyDescent="0.35">
      <c r="C238" s="39">
        <v>2</v>
      </c>
      <c r="D238" s="63"/>
      <c r="E238" s="118" t="s">
        <v>170</v>
      </c>
      <c r="F238" s="119"/>
      <c r="G238" s="19" t="s">
        <v>3</v>
      </c>
      <c r="H238" s="19">
        <v>37</v>
      </c>
      <c r="I238" s="25">
        <v>500</v>
      </c>
      <c r="J238" s="64">
        <f>I238*H238</f>
        <v>18500</v>
      </c>
      <c r="K238" s="40"/>
      <c r="L238" s="59">
        <f>+J238*1.15</f>
        <v>21275</v>
      </c>
      <c r="M238" s="41"/>
      <c r="N238" s="41">
        <f>+L238*0.025</f>
        <v>531.875</v>
      </c>
    </row>
    <row r="239" spans="3:15" ht="15" customHeight="1" x14ac:dyDescent="0.35">
      <c r="C239" s="113" t="s">
        <v>172</v>
      </c>
      <c r="D239" s="114"/>
      <c r="E239" s="114"/>
      <c r="F239" s="114"/>
      <c r="G239" s="114"/>
      <c r="H239" s="114"/>
      <c r="I239" s="28"/>
      <c r="J239" s="42">
        <f>SUM(J237:J238)</f>
        <v>349500</v>
      </c>
      <c r="K239" s="40"/>
      <c r="L239" s="42"/>
      <c r="M239" s="42"/>
      <c r="N239" s="42"/>
    </row>
    <row r="240" spans="3:15" ht="15" customHeight="1" x14ac:dyDescent="0.35">
      <c r="C240" s="115" t="s">
        <v>43</v>
      </c>
      <c r="D240" s="109"/>
      <c r="E240" s="109"/>
      <c r="F240" s="109"/>
      <c r="G240" s="109"/>
      <c r="H240" s="109"/>
      <c r="I240" s="110"/>
      <c r="J240" s="64">
        <f>J239*0.1</f>
        <v>34950</v>
      </c>
      <c r="K240" s="40"/>
      <c r="L240" s="41"/>
      <c r="M240" s="41"/>
      <c r="N240" s="41"/>
    </row>
    <row r="241" spans="3:15" ht="15" customHeight="1" x14ac:dyDescent="0.35">
      <c r="C241" s="115" t="s">
        <v>87</v>
      </c>
      <c r="D241" s="109"/>
      <c r="E241" s="109"/>
      <c r="F241" s="109"/>
      <c r="G241" s="109"/>
      <c r="H241" s="109"/>
      <c r="I241" s="110"/>
      <c r="J241" s="64">
        <f>J239*0.05</f>
        <v>17475</v>
      </c>
      <c r="K241" s="40"/>
      <c r="L241" s="41"/>
      <c r="M241" s="41"/>
      <c r="N241" s="41"/>
    </row>
    <row r="242" spans="3:15" ht="15" customHeight="1" x14ac:dyDescent="0.35">
      <c r="C242" s="108" t="s">
        <v>24</v>
      </c>
      <c r="D242" s="109"/>
      <c r="E242" s="109"/>
      <c r="F242" s="109"/>
      <c r="G242" s="109"/>
      <c r="H242" s="109"/>
      <c r="I242" s="110"/>
      <c r="J242" s="42">
        <f>SUM(J239:J241)</f>
        <v>401925</v>
      </c>
      <c r="K242" s="40"/>
      <c r="L242" s="43">
        <f>SUM(L237:L241)</f>
        <v>401924.99999999994</v>
      </c>
      <c r="M242" s="41"/>
      <c r="N242" s="43">
        <f>SUM(N237:N241)</f>
        <v>10048.124999999998</v>
      </c>
    </row>
    <row r="243" spans="3:15" ht="29.25" customHeight="1" x14ac:dyDescent="0.35">
      <c r="C243" s="17"/>
      <c r="D243" s="19" t="s">
        <v>139</v>
      </c>
      <c r="E243" s="106" t="s">
        <v>246</v>
      </c>
      <c r="F243" s="107"/>
      <c r="G243" s="19"/>
      <c r="H243" s="19"/>
      <c r="I243" s="19"/>
      <c r="J243" s="63"/>
      <c r="K243" s="22"/>
      <c r="L243" s="23"/>
      <c r="M243" s="22"/>
      <c r="N243" s="23"/>
    </row>
    <row r="244" spans="3:15" ht="30" customHeight="1" x14ac:dyDescent="0.35">
      <c r="C244" s="24">
        <v>1</v>
      </c>
      <c r="D244" s="19"/>
      <c r="E244" s="118" t="s">
        <v>247</v>
      </c>
      <c r="F244" s="119"/>
      <c r="G244" s="24" t="s">
        <v>73</v>
      </c>
      <c r="H244" s="19">
        <v>2</v>
      </c>
      <c r="I244" s="25">
        <v>3000</v>
      </c>
      <c r="J244" s="64">
        <f>I244*H244</f>
        <v>6000</v>
      </c>
      <c r="K244" s="18">
        <f>+J244*1.15</f>
        <v>6899.9999999999991</v>
      </c>
      <c r="L244" s="18"/>
      <c r="M244" s="27">
        <f>+K244*0.067</f>
        <v>462.29999999999995</v>
      </c>
      <c r="N244" s="27"/>
    </row>
    <row r="245" spans="3:15" ht="15" customHeight="1" x14ac:dyDescent="0.35">
      <c r="C245" s="113" t="s">
        <v>248</v>
      </c>
      <c r="D245" s="114"/>
      <c r="E245" s="114"/>
      <c r="F245" s="114"/>
      <c r="G245" s="114"/>
      <c r="H245" s="114"/>
      <c r="I245" s="28"/>
      <c r="J245" s="42">
        <f>SUM(J244:J244)</f>
        <v>6000</v>
      </c>
      <c r="K245" s="18"/>
      <c r="L245" s="23"/>
      <c r="M245" s="23"/>
      <c r="N245" s="23"/>
    </row>
    <row r="246" spans="3:15" ht="15" customHeight="1" x14ac:dyDescent="0.35">
      <c r="C246" s="115" t="s">
        <v>43</v>
      </c>
      <c r="D246" s="109"/>
      <c r="E246" s="109"/>
      <c r="F246" s="109"/>
      <c r="G246" s="109"/>
      <c r="H246" s="109"/>
      <c r="I246" s="110"/>
      <c r="J246" s="64">
        <f>J245*0.1</f>
        <v>600</v>
      </c>
      <c r="K246" s="18"/>
      <c r="L246" s="27"/>
      <c r="M246" s="27"/>
      <c r="N246" s="27"/>
    </row>
    <row r="247" spans="3:15" ht="15" customHeight="1" x14ac:dyDescent="0.35">
      <c r="C247" s="115" t="s">
        <v>51</v>
      </c>
      <c r="D247" s="109"/>
      <c r="E247" s="109"/>
      <c r="F247" s="109"/>
      <c r="G247" s="109"/>
      <c r="H247" s="109"/>
      <c r="I247" s="110"/>
      <c r="J247" s="64">
        <f>J245*0.05</f>
        <v>300</v>
      </c>
      <c r="K247" s="18"/>
      <c r="L247" s="27"/>
      <c r="M247" s="27"/>
      <c r="N247" s="27"/>
    </row>
    <row r="248" spans="3:15" ht="15" customHeight="1" x14ac:dyDescent="0.35">
      <c r="C248" s="108" t="s">
        <v>24</v>
      </c>
      <c r="D248" s="109"/>
      <c r="E248" s="109"/>
      <c r="F248" s="109"/>
      <c r="G248" s="109"/>
      <c r="H248" s="109"/>
      <c r="I248" s="110"/>
      <c r="J248" s="42">
        <f>SUM(J245:J247)</f>
        <v>6900</v>
      </c>
      <c r="K248" s="23">
        <f>SUM(K244:K247)</f>
        <v>6899.9999999999991</v>
      </c>
      <c r="L248" s="31"/>
      <c r="M248" s="31">
        <f>SUM(M244:M247)</f>
        <v>462.29999999999995</v>
      </c>
      <c r="N248" s="31"/>
    </row>
    <row r="249" spans="3:15" ht="26.25" customHeight="1" x14ac:dyDescent="0.35">
      <c r="C249" s="39"/>
      <c r="D249" s="19" t="s">
        <v>245</v>
      </c>
      <c r="E249" s="106" t="s">
        <v>174</v>
      </c>
      <c r="F249" s="107"/>
      <c r="G249" s="19"/>
      <c r="H249" s="19"/>
      <c r="I249" s="25"/>
      <c r="J249" s="66"/>
      <c r="K249" s="40"/>
      <c r="L249" s="40"/>
      <c r="M249" s="41"/>
      <c r="N249" s="41"/>
    </row>
    <row r="250" spans="3:15" ht="42" customHeight="1" x14ac:dyDescent="0.35">
      <c r="C250" s="39">
        <v>1</v>
      </c>
      <c r="D250" s="19" t="s">
        <v>264</v>
      </c>
      <c r="E250" s="118" t="s">
        <v>175</v>
      </c>
      <c r="F250" s="119"/>
      <c r="G250" s="19" t="s">
        <v>4</v>
      </c>
      <c r="H250" s="19">
        <v>3020</v>
      </c>
      <c r="I250" s="25">
        <v>250</v>
      </c>
      <c r="J250" s="64">
        <f>I250*H250</f>
        <v>755000</v>
      </c>
      <c r="K250" s="40"/>
      <c r="L250" s="59">
        <f>+J250*1.15</f>
        <v>868249.99999999988</v>
      </c>
      <c r="M250" s="41"/>
      <c r="N250" s="41">
        <f>+L250*0.025</f>
        <v>21706.25</v>
      </c>
    </row>
    <row r="251" spans="3:15" ht="28.5" customHeight="1" x14ac:dyDescent="0.35">
      <c r="C251" s="39">
        <v>2</v>
      </c>
      <c r="D251" s="19" t="s">
        <v>264</v>
      </c>
      <c r="E251" s="118" t="s">
        <v>173</v>
      </c>
      <c r="F251" s="119"/>
      <c r="G251" s="19" t="s">
        <v>3</v>
      </c>
      <c r="H251" s="19">
        <v>37</v>
      </c>
      <c r="I251" s="25">
        <v>500</v>
      </c>
      <c r="J251" s="64">
        <f>I251*H251</f>
        <v>18500</v>
      </c>
      <c r="K251" s="40"/>
      <c r="L251" s="59">
        <f>+J251*1.15</f>
        <v>21275</v>
      </c>
      <c r="M251" s="41"/>
      <c r="N251" s="41">
        <f>+L251*0.025</f>
        <v>531.875</v>
      </c>
    </row>
    <row r="252" spans="3:15" ht="29.25" customHeight="1" x14ac:dyDescent="0.35">
      <c r="C252" s="113" t="s">
        <v>176</v>
      </c>
      <c r="D252" s="114"/>
      <c r="E252" s="114"/>
      <c r="F252" s="114"/>
      <c r="G252" s="114"/>
      <c r="H252" s="114"/>
      <c r="I252" s="28"/>
      <c r="J252" s="42">
        <f>SUM(J250:J251)</f>
        <v>773500</v>
      </c>
      <c r="K252" s="40"/>
      <c r="L252" s="40"/>
      <c r="M252" s="41"/>
      <c r="N252" s="41"/>
    </row>
    <row r="253" spans="3:15" ht="15" customHeight="1" x14ac:dyDescent="0.35">
      <c r="C253" s="115" t="s">
        <v>43</v>
      </c>
      <c r="D253" s="109"/>
      <c r="E253" s="109"/>
      <c r="F253" s="109"/>
      <c r="G253" s="109"/>
      <c r="H253" s="109"/>
      <c r="I253" s="110"/>
      <c r="J253" s="64">
        <f>J252*0.1</f>
        <v>77350</v>
      </c>
      <c r="K253" s="40"/>
      <c r="L253" s="40"/>
      <c r="M253" s="41"/>
      <c r="N253" s="41"/>
    </row>
    <row r="254" spans="3:15" ht="15" customHeight="1" x14ac:dyDescent="0.35">
      <c r="C254" s="115" t="s">
        <v>87</v>
      </c>
      <c r="D254" s="109"/>
      <c r="E254" s="109"/>
      <c r="F254" s="109"/>
      <c r="G254" s="109"/>
      <c r="H254" s="109"/>
      <c r="I254" s="110"/>
      <c r="J254" s="64">
        <f>J252*0.05</f>
        <v>38675</v>
      </c>
      <c r="K254" s="40"/>
      <c r="L254" s="40"/>
      <c r="M254" s="41"/>
      <c r="N254" s="41"/>
    </row>
    <row r="255" spans="3:15" ht="15" customHeight="1" x14ac:dyDescent="0.35">
      <c r="C255" s="108" t="s">
        <v>24</v>
      </c>
      <c r="D255" s="109"/>
      <c r="E255" s="109"/>
      <c r="F255" s="109"/>
      <c r="G255" s="109"/>
      <c r="H255" s="109"/>
      <c r="I255" s="110"/>
      <c r="J255" s="42">
        <f>SUM(J252:J254)</f>
        <v>889525</v>
      </c>
      <c r="K255" s="45"/>
      <c r="L255" s="43">
        <f>SUM(L250:L254)</f>
        <v>889524.99999999988</v>
      </c>
      <c r="M255" s="43"/>
      <c r="N255" s="43">
        <f>SUM(N250:N254)</f>
        <v>22238.125</v>
      </c>
    </row>
    <row r="256" spans="3:15" ht="15" customHeight="1" x14ac:dyDescent="0.35">
      <c r="C256" s="108" t="s">
        <v>177</v>
      </c>
      <c r="D256" s="109"/>
      <c r="E256" s="109"/>
      <c r="F256" s="109"/>
      <c r="G256" s="109"/>
      <c r="H256" s="109"/>
      <c r="I256" s="110"/>
      <c r="J256" s="42">
        <f>+J235+J242+J248+J255</f>
        <v>1320890</v>
      </c>
      <c r="K256" s="23">
        <f>+K235+K242+K248+K255</f>
        <v>6899.9999999999991</v>
      </c>
      <c r="L256" s="23">
        <f>+L235+L242+L248+L255</f>
        <v>1313989.9999999998</v>
      </c>
      <c r="M256" s="23">
        <f>+M235+M242+M248+M255</f>
        <v>462.29999999999995</v>
      </c>
      <c r="N256" s="23">
        <f>+N235+N242+N248+N255</f>
        <v>32849.75</v>
      </c>
      <c r="O256" s="49"/>
    </row>
    <row r="257" spans="3:14" x14ac:dyDescent="0.35">
      <c r="C257" s="121" t="s">
        <v>105</v>
      </c>
      <c r="D257" s="120"/>
      <c r="E257" s="120"/>
      <c r="F257" s="120"/>
      <c r="G257" s="120"/>
      <c r="H257" s="120"/>
      <c r="I257" s="120"/>
      <c r="J257" s="120"/>
      <c r="K257" s="18"/>
      <c r="L257" s="31"/>
      <c r="M257" s="27"/>
      <c r="N257" s="31"/>
    </row>
    <row r="258" spans="3:14" ht="29.25" customHeight="1" x14ac:dyDescent="0.35">
      <c r="C258" s="39"/>
      <c r="D258" s="19" t="s">
        <v>214</v>
      </c>
      <c r="E258" s="106" t="s">
        <v>213</v>
      </c>
      <c r="F258" s="107"/>
      <c r="G258" s="19"/>
      <c r="H258" s="19"/>
      <c r="I258" s="25"/>
      <c r="J258" s="69"/>
      <c r="K258" s="16"/>
      <c r="L258" s="16"/>
      <c r="M258" s="16"/>
      <c r="N258" s="16"/>
    </row>
    <row r="259" spans="3:14" ht="13.5" customHeight="1" x14ac:dyDescent="0.35">
      <c r="C259" s="39">
        <v>1</v>
      </c>
      <c r="D259" s="19"/>
      <c r="E259" s="118" t="s">
        <v>107</v>
      </c>
      <c r="F259" s="119"/>
      <c r="G259" s="19" t="s">
        <v>4</v>
      </c>
      <c r="H259" s="19">
        <v>470</v>
      </c>
      <c r="I259" s="25">
        <v>100</v>
      </c>
      <c r="J259" s="64">
        <f>I259*H259</f>
        <v>47000</v>
      </c>
      <c r="K259" s="40"/>
      <c r="L259" s="59">
        <f>+J259*1.15</f>
        <v>54049.999999999993</v>
      </c>
      <c r="M259" s="41"/>
      <c r="N259" s="41">
        <f>+L259*0.025</f>
        <v>1351.25</v>
      </c>
    </row>
    <row r="260" spans="3:14" ht="29.25" customHeight="1" x14ac:dyDescent="0.35">
      <c r="C260" s="39">
        <v>2</v>
      </c>
      <c r="D260" s="19"/>
      <c r="E260" s="118" t="s">
        <v>91</v>
      </c>
      <c r="F260" s="119"/>
      <c r="G260" s="19" t="s">
        <v>5</v>
      </c>
      <c r="H260" s="19">
        <v>5</v>
      </c>
      <c r="I260" s="25">
        <v>500</v>
      </c>
      <c r="J260" s="64">
        <f>I260*H260</f>
        <v>2500</v>
      </c>
      <c r="K260" s="40"/>
      <c r="L260" s="59">
        <f>+J260*1.15</f>
        <v>2875</v>
      </c>
      <c r="M260" s="41"/>
      <c r="N260" s="41">
        <f>+L260*0.025</f>
        <v>71.875</v>
      </c>
    </row>
    <row r="261" spans="3:14" x14ac:dyDescent="0.35">
      <c r="C261" s="113" t="s">
        <v>92</v>
      </c>
      <c r="D261" s="114"/>
      <c r="E261" s="114"/>
      <c r="F261" s="114"/>
      <c r="G261" s="114"/>
      <c r="H261" s="114"/>
      <c r="I261" s="28"/>
      <c r="J261" s="42">
        <f>SUM(J259:J260)</f>
        <v>49500</v>
      </c>
      <c r="K261" s="40"/>
      <c r="L261" s="40"/>
      <c r="M261" s="40"/>
      <c r="N261" s="41"/>
    </row>
    <row r="262" spans="3:14" x14ac:dyDescent="0.35">
      <c r="C262" s="115" t="s">
        <v>43</v>
      </c>
      <c r="D262" s="109"/>
      <c r="E262" s="109"/>
      <c r="F262" s="109"/>
      <c r="G262" s="109"/>
      <c r="H262" s="109"/>
      <c r="I262" s="110"/>
      <c r="J262" s="64">
        <f>J261*0.1</f>
        <v>4950</v>
      </c>
      <c r="K262" s="40"/>
      <c r="L262" s="40"/>
      <c r="M262" s="40"/>
      <c r="N262" s="40"/>
    </row>
    <row r="263" spans="3:14" x14ac:dyDescent="0.35">
      <c r="C263" s="115" t="s">
        <v>87</v>
      </c>
      <c r="D263" s="109"/>
      <c r="E263" s="109"/>
      <c r="F263" s="109"/>
      <c r="G263" s="109"/>
      <c r="H263" s="109"/>
      <c r="I263" s="110"/>
      <c r="J263" s="64">
        <f>J261*0.05</f>
        <v>2475</v>
      </c>
      <c r="K263" s="40"/>
      <c r="L263" s="40"/>
      <c r="M263" s="40"/>
      <c r="N263" s="40"/>
    </row>
    <row r="264" spans="3:14" x14ac:dyDescent="0.35">
      <c r="C264" s="108" t="s">
        <v>24</v>
      </c>
      <c r="D264" s="109"/>
      <c r="E264" s="109"/>
      <c r="F264" s="109"/>
      <c r="G264" s="109"/>
      <c r="H264" s="109"/>
      <c r="I264" s="110"/>
      <c r="J264" s="42">
        <f>SUM(J261:J263)</f>
        <v>56925</v>
      </c>
      <c r="K264" s="44"/>
      <c r="L264" s="44">
        <f>SUM(L259:L263)</f>
        <v>56924.999999999993</v>
      </c>
      <c r="M264" s="44"/>
      <c r="N264" s="43">
        <f>SUM(N259:N263)</f>
        <v>1423.125</v>
      </c>
    </row>
    <row r="265" spans="3:14" ht="29.25" customHeight="1" x14ac:dyDescent="0.35">
      <c r="C265" s="24"/>
      <c r="D265" s="19" t="s">
        <v>230</v>
      </c>
      <c r="E265" s="106" t="s">
        <v>212</v>
      </c>
      <c r="F265" s="107"/>
      <c r="G265" s="19"/>
      <c r="H265" s="19"/>
      <c r="I265" s="25"/>
      <c r="J265" s="64"/>
      <c r="K265" s="25"/>
      <c r="L265" s="25"/>
      <c r="M265" s="26"/>
      <c r="N265" s="26"/>
    </row>
    <row r="266" spans="3:14" ht="27.75" customHeight="1" x14ac:dyDescent="0.35">
      <c r="C266" s="24">
        <v>1</v>
      </c>
      <c r="D266" s="63"/>
      <c r="E266" s="118" t="s">
        <v>269</v>
      </c>
      <c r="F266" s="119"/>
      <c r="G266" s="19" t="s">
        <v>4</v>
      </c>
      <c r="H266" s="19">
        <v>500</v>
      </c>
      <c r="I266" s="25">
        <v>300</v>
      </c>
      <c r="J266" s="64">
        <f>I266*H266</f>
        <v>150000</v>
      </c>
      <c r="K266" s="25"/>
      <c r="L266" s="59">
        <f>+J266*1.15</f>
        <v>172500</v>
      </c>
      <c r="M266" s="26"/>
      <c r="N266" s="26">
        <f>+L266*0.025</f>
        <v>4312.5</v>
      </c>
    </row>
    <row r="267" spans="3:14" ht="30.75" customHeight="1" x14ac:dyDescent="0.35">
      <c r="C267" s="24">
        <v>2</v>
      </c>
      <c r="D267" s="19"/>
      <c r="E267" s="118" t="s">
        <v>64</v>
      </c>
      <c r="F267" s="119"/>
      <c r="G267" s="19" t="s">
        <v>3</v>
      </c>
      <c r="H267" s="19">
        <v>7</v>
      </c>
      <c r="I267" s="25">
        <v>500</v>
      </c>
      <c r="J267" s="64">
        <f>I267*H267</f>
        <v>3500</v>
      </c>
      <c r="K267" s="18"/>
      <c r="L267" s="59">
        <f>+J267*1.15</f>
        <v>4024.9999999999995</v>
      </c>
      <c r="M267" s="27"/>
      <c r="N267" s="27">
        <f>+L267*0.025</f>
        <v>100.625</v>
      </c>
    </row>
    <row r="268" spans="3:14" ht="30" customHeight="1" x14ac:dyDescent="0.35">
      <c r="C268" s="113" t="s">
        <v>179</v>
      </c>
      <c r="D268" s="114"/>
      <c r="E268" s="114"/>
      <c r="F268" s="114"/>
      <c r="G268" s="114"/>
      <c r="H268" s="114"/>
      <c r="I268" s="28"/>
      <c r="J268" s="42">
        <f>SUM(J266:J267)</f>
        <v>153500</v>
      </c>
      <c r="K268" s="18"/>
      <c r="L268" s="23"/>
      <c r="M268" s="23"/>
      <c r="N268" s="23"/>
    </row>
    <row r="269" spans="3:14" x14ac:dyDescent="0.35">
      <c r="C269" s="115" t="s">
        <v>43</v>
      </c>
      <c r="D269" s="109"/>
      <c r="E269" s="109"/>
      <c r="F269" s="109"/>
      <c r="G269" s="109"/>
      <c r="H269" s="109"/>
      <c r="I269" s="110"/>
      <c r="J269" s="64">
        <f>J268*0.1</f>
        <v>15350</v>
      </c>
      <c r="K269" s="18"/>
      <c r="L269" s="27"/>
      <c r="M269" s="27"/>
      <c r="N269" s="27"/>
    </row>
    <row r="270" spans="3:14" x14ac:dyDescent="0.35">
      <c r="C270" s="115" t="s">
        <v>51</v>
      </c>
      <c r="D270" s="109"/>
      <c r="E270" s="109"/>
      <c r="F270" s="109"/>
      <c r="G270" s="109"/>
      <c r="H270" s="109"/>
      <c r="I270" s="110"/>
      <c r="J270" s="64">
        <f>J268*0.05</f>
        <v>7675</v>
      </c>
      <c r="K270" s="18"/>
      <c r="L270" s="27"/>
      <c r="M270" s="27"/>
      <c r="N270" s="27"/>
    </row>
    <row r="271" spans="3:14" x14ac:dyDescent="0.35">
      <c r="C271" s="108" t="s">
        <v>24</v>
      </c>
      <c r="D271" s="109"/>
      <c r="E271" s="109"/>
      <c r="F271" s="109"/>
      <c r="G271" s="109"/>
      <c r="H271" s="109"/>
      <c r="I271" s="110"/>
      <c r="J271" s="42">
        <f>SUM(J268:J270)</f>
        <v>176525</v>
      </c>
      <c r="K271" s="18"/>
      <c r="L271" s="31">
        <f>SUM(L266:L270)</f>
        <v>176525</v>
      </c>
      <c r="M271" s="27"/>
      <c r="N271" s="31">
        <f>SUM(N266:N270)</f>
        <v>4413.125</v>
      </c>
    </row>
    <row r="272" spans="3:14" ht="29.25" customHeight="1" x14ac:dyDescent="0.35">
      <c r="C272" s="39"/>
      <c r="D272" s="19" t="s">
        <v>231</v>
      </c>
      <c r="E272" s="106" t="s">
        <v>215</v>
      </c>
      <c r="F272" s="107"/>
      <c r="G272" s="19"/>
      <c r="H272" s="19"/>
      <c r="I272" s="25"/>
      <c r="J272" s="66"/>
      <c r="K272" s="40"/>
      <c r="L272" s="40"/>
      <c r="M272" s="41"/>
      <c r="N272" s="41"/>
    </row>
    <row r="273" spans="3:14" x14ac:dyDescent="0.35">
      <c r="C273" s="39">
        <v>1</v>
      </c>
      <c r="D273" s="19"/>
      <c r="E273" s="118" t="s">
        <v>216</v>
      </c>
      <c r="F273" s="119"/>
      <c r="G273" s="19" t="s">
        <v>4</v>
      </c>
      <c r="H273" s="19">
        <v>110</v>
      </c>
      <c r="I273" s="25">
        <v>100</v>
      </c>
      <c r="J273" s="64">
        <f>I273*H273</f>
        <v>11000</v>
      </c>
      <c r="K273" s="40"/>
      <c r="L273" s="59">
        <f>+J273*1.15</f>
        <v>12649.999999999998</v>
      </c>
      <c r="M273" s="41"/>
      <c r="N273" s="41">
        <f>+L273*0.025</f>
        <v>316.25</v>
      </c>
    </row>
    <row r="274" spans="3:14" x14ac:dyDescent="0.35">
      <c r="C274" s="39">
        <v>2</v>
      </c>
      <c r="D274" s="63"/>
      <c r="E274" s="118" t="s">
        <v>108</v>
      </c>
      <c r="F274" s="119"/>
      <c r="G274" s="19" t="s">
        <v>55</v>
      </c>
      <c r="H274" s="19">
        <v>1</v>
      </c>
      <c r="I274" s="25">
        <v>15000</v>
      </c>
      <c r="J274" s="64">
        <f>I274*H274</f>
        <v>15000</v>
      </c>
      <c r="K274" s="40"/>
      <c r="L274" s="59">
        <f>+J274*1.15</f>
        <v>17250</v>
      </c>
      <c r="M274" s="41"/>
      <c r="N274" s="41">
        <f>+L274*0.025</f>
        <v>431.25</v>
      </c>
    </row>
    <row r="275" spans="3:14" x14ac:dyDescent="0.35">
      <c r="C275" s="113" t="s">
        <v>106</v>
      </c>
      <c r="D275" s="114"/>
      <c r="E275" s="114"/>
      <c r="F275" s="114"/>
      <c r="G275" s="114"/>
      <c r="H275" s="114"/>
      <c r="I275" s="28"/>
      <c r="J275" s="42">
        <f>SUM(J273:J274)</f>
        <v>26000</v>
      </c>
      <c r="K275" s="40"/>
      <c r="L275" s="40"/>
      <c r="M275" s="41"/>
      <c r="N275" s="41"/>
    </row>
    <row r="276" spans="3:14" x14ac:dyDescent="0.35">
      <c r="C276" s="115" t="s">
        <v>43</v>
      </c>
      <c r="D276" s="155"/>
      <c r="E276" s="155"/>
      <c r="F276" s="155"/>
      <c r="G276" s="155"/>
      <c r="H276" s="155"/>
      <c r="I276" s="123"/>
      <c r="J276" s="64">
        <f>J275*0.1</f>
        <v>2600</v>
      </c>
      <c r="K276" s="40"/>
      <c r="L276" s="40"/>
      <c r="M276" s="41"/>
      <c r="N276" s="41"/>
    </row>
    <row r="277" spans="3:14" x14ac:dyDescent="0.35">
      <c r="C277" s="115" t="s">
        <v>87</v>
      </c>
      <c r="D277" s="155"/>
      <c r="E277" s="155"/>
      <c r="F277" s="155"/>
      <c r="G277" s="155"/>
      <c r="H277" s="155"/>
      <c r="I277" s="123"/>
      <c r="J277" s="64">
        <f>J275*0.05</f>
        <v>1300</v>
      </c>
      <c r="K277" s="40"/>
      <c r="L277" s="40"/>
      <c r="M277" s="41"/>
      <c r="N277" s="41"/>
    </row>
    <row r="278" spans="3:14" x14ac:dyDescent="0.35">
      <c r="C278" s="108" t="s">
        <v>24</v>
      </c>
      <c r="D278" s="122"/>
      <c r="E278" s="122"/>
      <c r="F278" s="122"/>
      <c r="G278" s="122"/>
      <c r="H278" s="122"/>
      <c r="I278" s="146"/>
      <c r="J278" s="42">
        <f>SUM(J275:J277)</f>
        <v>29900</v>
      </c>
      <c r="K278" s="45"/>
      <c r="L278" s="43">
        <f>SUM(L273:L277)</f>
        <v>29900</v>
      </c>
      <c r="M278" s="43"/>
      <c r="N278" s="43">
        <f>SUM(N273:N277)</f>
        <v>747.5</v>
      </c>
    </row>
    <row r="279" spans="3:14" ht="29.25" customHeight="1" x14ac:dyDescent="0.35">
      <c r="C279" s="24"/>
      <c r="D279" s="19" t="s">
        <v>232</v>
      </c>
      <c r="E279" s="106" t="s">
        <v>178</v>
      </c>
      <c r="F279" s="107"/>
      <c r="G279" s="19"/>
      <c r="H279" s="19"/>
      <c r="I279" s="25"/>
      <c r="J279" s="64"/>
      <c r="K279" s="25"/>
      <c r="L279" s="25"/>
      <c r="M279" s="26"/>
      <c r="N279" s="26"/>
    </row>
    <row r="280" spans="3:14" ht="30" customHeight="1" x14ac:dyDescent="0.35">
      <c r="C280" s="24">
        <v>1</v>
      </c>
      <c r="D280" s="19"/>
      <c r="E280" s="118" t="s">
        <v>183</v>
      </c>
      <c r="F280" s="119"/>
      <c r="G280" s="19" t="s">
        <v>4</v>
      </c>
      <c r="H280" s="19">
        <v>1500</v>
      </c>
      <c r="I280" s="25">
        <v>200</v>
      </c>
      <c r="J280" s="64">
        <f>I280*H280</f>
        <v>300000</v>
      </c>
      <c r="K280" s="25"/>
      <c r="L280" s="59">
        <f>+J280*1.15</f>
        <v>345000</v>
      </c>
      <c r="M280" s="26"/>
      <c r="N280" s="26">
        <f>+L280*0.025</f>
        <v>8625</v>
      </c>
    </row>
    <row r="281" spans="3:14" ht="30" customHeight="1" x14ac:dyDescent="0.35">
      <c r="C281" s="24">
        <v>2</v>
      </c>
      <c r="D281" s="19"/>
      <c r="E281" s="118" t="s">
        <v>64</v>
      </c>
      <c r="F281" s="119"/>
      <c r="G281" s="19" t="s">
        <v>3</v>
      </c>
      <c r="H281" s="19">
        <v>10</v>
      </c>
      <c r="I281" s="25">
        <v>500</v>
      </c>
      <c r="J281" s="64">
        <f>I281*H281</f>
        <v>5000</v>
      </c>
      <c r="K281" s="18"/>
      <c r="L281" s="59">
        <f>+J281*1.15</f>
        <v>5750</v>
      </c>
      <c r="M281" s="27"/>
      <c r="N281" s="27">
        <f>+L281*0.025</f>
        <v>143.75</v>
      </c>
    </row>
    <row r="282" spans="3:14" ht="30" customHeight="1" x14ac:dyDescent="0.35">
      <c r="C282" s="113" t="s">
        <v>179</v>
      </c>
      <c r="D282" s="114"/>
      <c r="E282" s="114"/>
      <c r="F282" s="114"/>
      <c r="G282" s="114"/>
      <c r="H282" s="114"/>
      <c r="I282" s="28"/>
      <c r="J282" s="42">
        <f>SUM(J280:J281)</f>
        <v>305000</v>
      </c>
      <c r="K282" s="18"/>
      <c r="L282" s="23"/>
      <c r="M282" s="23"/>
      <c r="N282" s="23"/>
    </row>
    <row r="283" spans="3:14" x14ac:dyDescent="0.35">
      <c r="C283" s="115" t="s">
        <v>43</v>
      </c>
      <c r="D283" s="109"/>
      <c r="E283" s="109"/>
      <c r="F283" s="109"/>
      <c r="G283" s="109"/>
      <c r="H283" s="109"/>
      <c r="I283" s="110"/>
      <c r="J283" s="64">
        <f>J282*0.1</f>
        <v>30500</v>
      </c>
      <c r="K283" s="18"/>
      <c r="L283" s="27"/>
      <c r="M283" s="27"/>
      <c r="N283" s="27"/>
    </row>
    <row r="284" spans="3:14" x14ac:dyDescent="0.35">
      <c r="C284" s="115" t="s">
        <v>51</v>
      </c>
      <c r="D284" s="109"/>
      <c r="E284" s="109"/>
      <c r="F284" s="109"/>
      <c r="G284" s="109"/>
      <c r="H284" s="109"/>
      <c r="I284" s="110"/>
      <c r="J284" s="64">
        <f>J282*0.05</f>
        <v>15250</v>
      </c>
      <c r="K284" s="18"/>
      <c r="L284" s="27"/>
      <c r="M284" s="27"/>
      <c r="N284" s="27"/>
    </row>
    <row r="285" spans="3:14" x14ac:dyDescent="0.35">
      <c r="C285" s="108" t="s">
        <v>24</v>
      </c>
      <c r="D285" s="109"/>
      <c r="E285" s="109"/>
      <c r="F285" s="109"/>
      <c r="G285" s="109"/>
      <c r="H285" s="109"/>
      <c r="I285" s="110"/>
      <c r="J285" s="42">
        <f>SUM(J282:J284)</f>
        <v>350750</v>
      </c>
      <c r="K285" s="18"/>
      <c r="L285" s="31">
        <f>SUM(L280:L284)</f>
        <v>350750</v>
      </c>
      <c r="M285" s="27"/>
      <c r="N285" s="31">
        <f>SUM(N280:N284)</f>
        <v>8768.75</v>
      </c>
    </row>
    <row r="286" spans="3:14" ht="15" customHeight="1" x14ac:dyDescent="0.35">
      <c r="C286" s="24"/>
      <c r="D286" s="19" t="s">
        <v>191</v>
      </c>
      <c r="E286" s="106" t="s">
        <v>180</v>
      </c>
      <c r="F286" s="107"/>
      <c r="G286" s="19"/>
      <c r="H286" s="19"/>
      <c r="I286" s="25"/>
      <c r="J286" s="64"/>
      <c r="K286" s="25"/>
      <c r="L286" s="25"/>
      <c r="M286" s="26"/>
      <c r="N286" s="26"/>
    </row>
    <row r="287" spans="3:14" ht="195" customHeight="1" x14ac:dyDescent="0.35">
      <c r="C287" s="24">
        <v>1</v>
      </c>
      <c r="D287" s="63"/>
      <c r="E287" s="118" t="s">
        <v>229</v>
      </c>
      <c r="F287" s="119"/>
      <c r="G287" s="24" t="s">
        <v>65</v>
      </c>
      <c r="H287" s="19">
        <v>1</v>
      </c>
      <c r="I287" s="25">
        <v>10000</v>
      </c>
      <c r="J287" s="64">
        <f>I287*H287</f>
        <v>10000</v>
      </c>
      <c r="K287" s="27">
        <f>+J287*1.2/2</f>
        <v>6000</v>
      </c>
      <c r="L287" s="25">
        <f>+J287*1.2/2</f>
        <v>6000</v>
      </c>
      <c r="M287" s="27">
        <f t="shared" ref="M287" si="8">+K287*0.067</f>
        <v>402</v>
      </c>
      <c r="N287" s="26">
        <f>+L287*0.025</f>
        <v>150</v>
      </c>
    </row>
    <row r="288" spans="3:14" ht="14.25" customHeight="1" x14ac:dyDescent="0.35">
      <c r="C288" s="113" t="s">
        <v>181</v>
      </c>
      <c r="D288" s="114"/>
      <c r="E288" s="114"/>
      <c r="F288" s="114"/>
      <c r="G288" s="114"/>
      <c r="H288" s="114"/>
      <c r="I288" s="28"/>
      <c r="J288" s="42">
        <f>SUM(J287:J287)</f>
        <v>10000</v>
      </c>
      <c r="K288" s="18"/>
      <c r="L288" s="23"/>
      <c r="M288" s="23"/>
      <c r="N288" s="23"/>
    </row>
    <row r="289" spans="3:15" x14ac:dyDescent="0.35">
      <c r="C289" s="115" t="s">
        <v>42</v>
      </c>
      <c r="D289" s="109"/>
      <c r="E289" s="109"/>
      <c r="F289" s="109"/>
      <c r="G289" s="109"/>
      <c r="H289" s="109"/>
      <c r="I289" s="110"/>
      <c r="J289" s="64">
        <f>J288*0.05</f>
        <v>500</v>
      </c>
      <c r="K289" s="18"/>
      <c r="L289" s="27"/>
      <c r="M289" s="27"/>
      <c r="N289" s="27"/>
    </row>
    <row r="290" spans="3:15" x14ac:dyDescent="0.35">
      <c r="C290" s="115" t="s">
        <v>43</v>
      </c>
      <c r="D290" s="109"/>
      <c r="E290" s="109"/>
      <c r="F290" s="109"/>
      <c r="G290" s="109"/>
      <c r="H290" s="109"/>
      <c r="I290" s="110"/>
      <c r="J290" s="64">
        <f>J288*0.1</f>
        <v>1000</v>
      </c>
      <c r="K290" s="18"/>
      <c r="L290" s="27"/>
      <c r="M290" s="27"/>
      <c r="N290" s="27"/>
    </row>
    <row r="291" spans="3:15" x14ac:dyDescent="0.35">
      <c r="C291" s="115" t="s">
        <v>51</v>
      </c>
      <c r="D291" s="109"/>
      <c r="E291" s="109"/>
      <c r="F291" s="109"/>
      <c r="G291" s="109"/>
      <c r="H291" s="109"/>
      <c r="I291" s="110"/>
      <c r="J291" s="64">
        <f>J288*0.05</f>
        <v>500</v>
      </c>
      <c r="K291" s="18"/>
      <c r="L291" s="27"/>
      <c r="M291" s="27"/>
      <c r="N291" s="27"/>
    </row>
    <row r="292" spans="3:15" x14ac:dyDescent="0.35">
      <c r="C292" s="108" t="s">
        <v>24</v>
      </c>
      <c r="D292" s="109"/>
      <c r="E292" s="109"/>
      <c r="F292" s="109"/>
      <c r="G292" s="109"/>
      <c r="H292" s="109"/>
      <c r="I292" s="110"/>
      <c r="J292" s="42">
        <f>+J288+J289+J290+J291</f>
        <v>12000</v>
      </c>
      <c r="K292" s="23">
        <f>SUM(K287:K291)</f>
        <v>6000</v>
      </c>
      <c r="L292" s="23">
        <f t="shared" ref="L292:N292" si="9">SUM(L287:L291)</f>
        <v>6000</v>
      </c>
      <c r="M292" s="23">
        <f t="shared" si="9"/>
        <v>402</v>
      </c>
      <c r="N292" s="23">
        <f t="shared" si="9"/>
        <v>150</v>
      </c>
      <c r="O292" s="49"/>
    </row>
    <row r="293" spans="3:15" x14ac:dyDescent="0.35">
      <c r="C293" s="108" t="s">
        <v>182</v>
      </c>
      <c r="D293" s="122"/>
      <c r="E293" s="122"/>
      <c r="F293" s="122"/>
      <c r="G293" s="122"/>
      <c r="H293" s="122"/>
      <c r="I293" s="123"/>
      <c r="J293" s="42">
        <f>+J264+J271+J278+J285+J292</f>
        <v>626100</v>
      </c>
      <c r="K293" s="42">
        <f t="shared" ref="K293:N293" si="10">+K264+K271+K278+K285+K292</f>
        <v>6000</v>
      </c>
      <c r="L293" s="42">
        <f t="shared" si="10"/>
        <v>620100</v>
      </c>
      <c r="M293" s="42">
        <f t="shared" si="10"/>
        <v>402</v>
      </c>
      <c r="N293" s="42">
        <f t="shared" si="10"/>
        <v>15502.5</v>
      </c>
      <c r="O293" s="49"/>
    </row>
    <row r="294" spans="3:15" x14ac:dyDescent="0.35">
      <c r="C294" s="121" t="s">
        <v>109</v>
      </c>
      <c r="D294" s="120"/>
      <c r="E294" s="120"/>
      <c r="F294" s="120"/>
      <c r="G294" s="120"/>
      <c r="H294" s="120"/>
      <c r="I294" s="120"/>
      <c r="J294" s="120"/>
      <c r="K294" s="23"/>
      <c r="L294" s="23"/>
      <c r="M294" s="23"/>
      <c r="N294" s="23"/>
    </row>
    <row r="295" spans="3:15" ht="29.25" customHeight="1" x14ac:dyDescent="0.35">
      <c r="C295" s="17"/>
      <c r="D295" s="19" t="s">
        <v>110</v>
      </c>
      <c r="E295" s="106" t="s">
        <v>253</v>
      </c>
      <c r="F295" s="107"/>
      <c r="G295" s="19"/>
      <c r="H295" s="19"/>
      <c r="I295" s="19"/>
      <c r="J295" s="63"/>
      <c r="K295" s="22"/>
      <c r="L295" s="23"/>
      <c r="M295" s="22"/>
      <c r="N295" s="23"/>
    </row>
    <row r="296" spans="3:15" ht="30" customHeight="1" x14ac:dyDescent="0.35">
      <c r="C296" s="24">
        <v>2</v>
      </c>
      <c r="D296" s="19"/>
      <c r="E296" s="118" t="s">
        <v>254</v>
      </c>
      <c r="F296" s="119"/>
      <c r="G296" s="24" t="s">
        <v>55</v>
      </c>
      <c r="H296" s="19">
        <v>2</v>
      </c>
      <c r="I296" s="25">
        <v>3000</v>
      </c>
      <c r="J296" s="64">
        <f>I296*H296</f>
        <v>6000</v>
      </c>
      <c r="K296" s="18">
        <f>+J296*1.15</f>
        <v>6899.9999999999991</v>
      </c>
      <c r="L296" s="18"/>
      <c r="M296" s="27">
        <f>+K296*0.067</f>
        <v>462.29999999999995</v>
      </c>
      <c r="N296" s="27"/>
    </row>
    <row r="297" spans="3:15" x14ac:dyDescent="0.35">
      <c r="C297" s="113" t="s">
        <v>255</v>
      </c>
      <c r="D297" s="114"/>
      <c r="E297" s="114"/>
      <c r="F297" s="114"/>
      <c r="G297" s="114"/>
      <c r="H297" s="114"/>
      <c r="I297" s="28"/>
      <c r="J297" s="42">
        <f>SUM(J296:J296)</f>
        <v>6000</v>
      </c>
      <c r="K297" s="18"/>
      <c r="L297" s="23"/>
      <c r="M297" s="23"/>
      <c r="N297" s="23"/>
    </row>
    <row r="298" spans="3:15" x14ac:dyDescent="0.35">
      <c r="C298" s="115" t="s">
        <v>43</v>
      </c>
      <c r="D298" s="109"/>
      <c r="E298" s="109"/>
      <c r="F298" s="109"/>
      <c r="G298" s="109"/>
      <c r="H298" s="109"/>
      <c r="I298" s="110"/>
      <c r="J298" s="64">
        <f>J297*0.1</f>
        <v>600</v>
      </c>
      <c r="K298" s="18"/>
      <c r="L298" s="27"/>
      <c r="M298" s="27"/>
      <c r="N298" s="27"/>
    </row>
    <row r="299" spans="3:15" x14ac:dyDescent="0.35">
      <c r="C299" s="115" t="s">
        <v>51</v>
      </c>
      <c r="D299" s="109"/>
      <c r="E299" s="109"/>
      <c r="F299" s="109"/>
      <c r="G299" s="109"/>
      <c r="H299" s="109"/>
      <c r="I299" s="110"/>
      <c r="J299" s="64">
        <f>J297*0.05</f>
        <v>300</v>
      </c>
      <c r="K299" s="18"/>
      <c r="L299" s="27"/>
      <c r="M299" s="27"/>
      <c r="N299" s="27"/>
    </row>
    <row r="300" spans="3:15" x14ac:dyDescent="0.35">
      <c r="C300" s="108" t="s">
        <v>24</v>
      </c>
      <c r="D300" s="109"/>
      <c r="E300" s="109"/>
      <c r="F300" s="109"/>
      <c r="G300" s="109"/>
      <c r="H300" s="109"/>
      <c r="I300" s="110"/>
      <c r="J300" s="42">
        <f>SUM(J297:J299)</f>
        <v>6900</v>
      </c>
      <c r="K300" s="23">
        <f>SUM(K296:K299)</f>
        <v>6899.9999999999991</v>
      </c>
      <c r="L300" s="31"/>
      <c r="M300" s="31">
        <f>SUM(M296:M299)</f>
        <v>462.29999999999995</v>
      </c>
      <c r="N300" s="31"/>
    </row>
    <row r="301" spans="3:15" ht="27.75" customHeight="1" x14ac:dyDescent="0.35">
      <c r="C301" s="39"/>
      <c r="D301" s="19" t="s">
        <v>166</v>
      </c>
      <c r="E301" s="106" t="s">
        <v>192</v>
      </c>
      <c r="F301" s="107"/>
      <c r="G301" s="19"/>
      <c r="H301" s="19"/>
      <c r="I301" s="25"/>
      <c r="J301" s="66"/>
      <c r="K301" s="40"/>
      <c r="L301" s="40"/>
      <c r="M301" s="41"/>
      <c r="N301" s="41"/>
    </row>
    <row r="302" spans="3:15" ht="29.15" customHeight="1" x14ac:dyDescent="0.35">
      <c r="C302" s="39">
        <v>1</v>
      </c>
      <c r="D302" s="19"/>
      <c r="E302" s="118" t="s">
        <v>197</v>
      </c>
      <c r="F302" s="119"/>
      <c r="G302" s="19" t="s">
        <v>4</v>
      </c>
      <c r="H302" s="19">
        <v>830</v>
      </c>
      <c r="I302" s="25">
        <v>200</v>
      </c>
      <c r="J302" s="64">
        <f>I302*H302</f>
        <v>166000</v>
      </c>
      <c r="K302" s="40"/>
      <c r="L302" s="59">
        <f>+J302*1.2</f>
        <v>199200</v>
      </c>
      <c r="M302" s="41"/>
      <c r="N302" s="41">
        <f>+L302*0.025</f>
        <v>4980</v>
      </c>
    </row>
    <row r="303" spans="3:15" ht="30.75" customHeight="1" x14ac:dyDescent="0.35">
      <c r="C303" s="39">
        <v>2</v>
      </c>
      <c r="D303" s="19"/>
      <c r="E303" s="118" t="s">
        <v>196</v>
      </c>
      <c r="F303" s="119"/>
      <c r="G303" s="19" t="s">
        <v>3</v>
      </c>
      <c r="H303" s="19">
        <v>17</v>
      </c>
      <c r="I303" s="25">
        <v>500</v>
      </c>
      <c r="J303" s="64">
        <f>I303*H303</f>
        <v>8500</v>
      </c>
      <c r="K303" s="40"/>
      <c r="L303" s="59">
        <f>+J303*1.2</f>
        <v>10200</v>
      </c>
      <c r="M303" s="41"/>
      <c r="N303" s="41">
        <f>+L303*0.025</f>
        <v>255</v>
      </c>
    </row>
    <row r="304" spans="3:15" ht="27.75" customHeight="1" x14ac:dyDescent="0.35">
      <c r="C304" s="113" t="s">
        <v>193</v>
      </c>
      <c r="D304" s="114"/>
      <c r="E304" s="114"/>
      <c r="F304" s="114"/>
      <c r="G304" s="114"/>
      <c r="H304" s="114"/>
      <c r="I304" s="28"/>
      <c r="J304" s="42">
        <f>SUM(J302:J303)</f>
        <v>174500</v>
      </c>
      <c r="K304" s="40"/>
      <c r="L304" s="40"/>
      <c r="M304" s="41"/>
      <c r="N304" s="41"/>
    </row>
    <row r="305" spans="3:15" x14ac:dyDescent="0.35">
      <c r="C305" s="115" t="s">
        <v>42</v>
      </c>
      <c r="D305" s="155"/>
      <c r="E305" s="155"/>
      <c r="F305" s="155"/>
      <c r="G305" s="155"/>
      <c r="H305" s="155"/>
      <c r="I305" s="123"/>
      <c r="J305" s="64">
        <f>J304*0.05</f>
        <v>8725</v>
      </c>
      <c r="K305" s="40"/>
      <c r="L305" s="40"/>
      <c r="M305" s="41"/>
      <c r="N305" s="41"/>
    </row>
    <row r="306" spans="3:15" x14ac:dyDescent="0.35">
      <c r="C306" s="115" t="s">
        <v>43</v>
      </c>
      <c r="D306" s="109"/>
      <c r="E306" s="109"/>
      <c r="F306" s="109"/>
      <c r="G306" s="109"/>
      <c r="H306" s="109"/>
      <c r="I306" s="110"/>
      <c r="J306" s="64">
        <f>J304*0.1</f>
        <v>17450</v>
      </c>
      <c r="K306" s="40"/>
      <c r="L306" s="40"/>
      <c r="M306" s="41"/>
      <c r="N306" s="41"/>
    </row>
    <row r="307" spans="3:15" x14ac:dyDescent="0.35">
      <c r="C307" s="115" t="s">
        <v>87</v>
      </c>
      <c r="D307" s="109"/>
      <c r="E307" s="109"/>
      <c r="F307" s="109"/>
      <c r="G307" s="109"/>
      <c r="H307" s="109"/>
      <c r="I307" s="110"/>
      <c r="J307" s="64">
        <f>J304*0.05</f>
        <v>8725</v>
      </c>
      <c r="K307" s="40"/>
      <c r="L307" s="40"/>
      <c r="M307" s="41"/>
      <c r="N307" s="41"/>
    </row>
    <row r="308" spans="3:15" x14ac:dyDescent="0.35">
      <c r="C308" s="108" t="s">
        <v>24</v>
      </c>
      <c r="D308" s="109"/>
      <c r="E308" s="109"/>
      <c r="F308" s="109"/>
      <c r="G308" s="109"/>
      <c r="H308" s="109"/>
      <c r="I308" s="110"/>
      <c r="J308" s="42">
        <f>+J304+J305+J306+J307</f>
        <v>209400</v>
      </c>
      <c r="K308" s="45"/>
      <c r="L308" s="43">
        <f>SUM(L302:L307)</f>
        <v>209400</v>
      </c>
      <c r="M308" s="43"/>
      <c r="N308" s="43">
        <f>SUM(N302:N307)</f>
        <v>5235</v>
      </c>
    </row>
    <row r="309" spans="3:15" ht="27" customHeight="1" x14ac:dyDescent="0.35">
      <c r="C309" s="17"/>
      <c r="D309" s="19" t="s">
        <v>256</v>
      </c>
      <c r="E309" s="106" t="s">
        <v>224</v>
      </c>
      <c r="F309" s="107"/>
      <c r="G309" s="19"/>
      <c r="H309" s="19"/>
      <c r="I309" s="19"/>
      <c r="J309" s="63"/>
      <c r="K309" s="22"/>
      <c r="L309" s="23"/>
      <c r="M309" s="22"/>
      <c r="N309" s="23"/>
    </row>
    <row r="310" spans="3:15" ht="77.5" customHeight="1" x14ac:dyDescent="0.35">
      <c r="C310" s="24">
        <v>1</v>
      </c>
      <c r="D310" s="63"/>
      <c r="E310" s="118" t="s">
        <v>282</v>
      </c>
      <c r="F310" s="119"/>
      <c r="G310" s="24" t="s">
        <v>73</v>
      </c>
      <c r="H310" s="19">
        <v>1</v>
      </c>
      <c r="I310" s="25">
        <v>50000</v>
      </c>
      <c r="J310" s="64">
        <f>I310*H310</f>
        <v>50000</v>
      </c>
      <c r="K310" s="18">
        <f>+J310*1.15/2</f>
        <v>28749.999999999996</v>
      </c>
      <c r="L310" s="18">
        <f>+J310*1.15/2</f>
        <v>28749.999999999996</v>
      </c>
      <c r="M310" s="27">
        <f>+K310*0.067</f>
        <v>1926.2499999999998</v>
      </c>
      <c r="N310" s="27">
        <f>+L310*0.025</f>
        <v>718.75</v>
      </c>
    </row>
    <row r="311" spans="3:15" x14ac:dyDescent="0.35">
      <c r="C311" s="113" t="s">
        <v>283</v>
      </c>
      <c r="D311" s="114"/>
      <c r="E311" s="114"/>
      <c r="F311" s="114"/>
      <c r="G311" s="114"/>
      <c r="H311" s="114"/>
      <c r="I311" s="28"/>
      <c r="J311" s="42">
        <f>SUM(J310:J310)</f>
        <v>50000</v>
      </c>
      <c r="K311" s="18"/>
      <c r="L311" s="23"/>
      <c r="M311" s="23"/>
      <c r="N311" s="23"/>
    </row>
    <row r="312" spans="3:15" x14ac:dyDescent="0.35">
      <c r="C312" s="115" t="s">
        <v>43</v>
      </c>
      <c r="D312" s="109"/>
      <c r="E312" s="109"/>
      <c r="F312" s="109"/>
      <c r="G312" s="109"/>
      <c r="H312" s="109"/>
      <c r="I312" s="110"/>
      <c r="J312" s="64">
        <f>J311*0.1</f>
        <v>5000</v>
      </c>
      <c r="K312" s="18"/>
      <c r="L312" s="27"/>
      <c r="M312" s="27"/>
      <c r="N312" s="27"/>
    </row>
    <row r="313" spans="3:15" x14ac:dyDescent="0.35">
      <c r="C313" s="115" t="s">
        <v>51</v>
      </c>
      <c r="D313" s="109"/>
      <c r="E313" s="109"/>
      <c r="F313" s="109"/>
      <c r="G313" s="109"/>
      <c r="H313" s="109"/>
      <c r="I313" s="110"/>
      <c r="J313" s="64">
        <f>J311*0.05</f>
        <v>2500</v>
      </c>
      <c r="K313" s="18"/>
      <c r="L313" s="27"/>
      <c r="M313" s="27"/>
      <c r="N313" s="27"/>
    </row>
    <row r="314" spans="3:15" x14ac:dyDescent="0.35">
      <c r="C314" s="108" t="s">
        <v>24</v>
      </c>
      <c r="D314" s="109"/>
      <c r="E314" s="109"/>
      <c r="F314" s="109"/>
      <c r="G314" s="109"/>
      <c r="H314" s="109"/>
      <c r="I314" s="110"/>
      <c r="J314" s="42">
        <f>SUM(J311:J313)</f>
        <v>57500</v>
      </c>
      <c r="K314" s="43">
        <f>SUM(K310:K310)</f>
        <v>28749.999999999996</v>
      </c>
      <c r="L314" s="43">
        <f>SUM(L310:L310)</f>
        <v>28749.999999999996</v>
      </c>
      <c r="M314" s="43">
        <f>SUM(M310:M310)</f>
        <v>1926.2499999999998</v>
      </c>
      <c r="N314" s="43">
        <f>SUM(N310:N313)</f>
        <v>718.75</v>
      </c>
      <c r="O314" s="49"/>
    </row>
    <row r="315" spans="3:15" ht="15" customHeight="1" x14ac:dyDescent="0.35">
      <c r="C315" s="108" t="s">
        <v>194</v>
      </c>
      <c r="D315" s="122"/>
      <c r="E315" s="122"/>
      <c r="F315" s="122"/>
      <c r="G315" s="122"/>
      <c r="H315" s="122"/>
      <c r="I315" s="123"/>
      <c r="J315" s="42">
        <f>+J300+J308+J314</f>
        <v>273800</v>
      </c>
      <c r="K315" s="42">
        <f>+K300+K308+K314</f>
        <v>35649.999999999993</v>
      </c>
      <c r="L315" s="42">
        <f>+L300+L308+L314</f>
        <v>238150</v>
      </c>
      <c r="M315" s="42">
        <f>+M300+M308+M314</f>
        <v>2388.5499999999997</v>
      </c>
      <c r="N315" s="42">
        <f>+N300+N308+N314</f>
        <v>5953.75</v>
      </c>
      <c r="O315" s="49"/>
    </row>
    <row r="316" spans="3:15" x14ac:dyDescent="0.35">
      <c r="C316" s="121" t="s">
        <v>184</v>
      </c>
      <c r="D316" s="120"/>
      <c r="E316" s="120"/>
      <c r="F316" s="120"/>
      <c r="G316" s="120"/>
      <c r="H316" s="120"/>
      <c r="I316" s="120"/>
      <c r="J316" s="120"/>
      <c r="K316" s="42"/>
      <c r="L316" s="42"/>
      <c r="M316" s="42"/>
      <c r="N316" s="42"/>
    </row>
    <row r="317" spans="3:15" x14ac:dyDescent="0.35">
      <c r="C317" s="17"/>
      <c r="D317" s="19" t="s">
        <v>280</v>
      </c>
      <c r="E317" s="150" t="s">
        <v>281</v>
      </c>
      <c r="F317" s="150"/>
      <c r="G317" s="19"/>
      <c r="H317" s="19"/>
      <c r="I317" s="19"/>
      <c r="J317" s="63"/>
      <c r="K317" s="42"/>
      <c r="L317" s="42"/>
      <c r="M317" s="42"/>
      <c r="N317" s="42"/>
    </row>
    <row r="318" spans="3:15" ht="26" x14ac:dyDescent="0.35">
      <c r="C318" s="17"/>
      <c r="D318" s="63"/>
      <c r="E318" s="149" t="s">
        <v>284</v>
      </c>
      <c r="F318" s="149"/>
      <c r="G318" s="24" t="s">
        <v>73</v>
      </c>
      <c r="H318" s="19">
        <v>1</v>
      </c>
      <c r="I318" s="25">
        <v>65000</v>
      </c>
      <c r="J318" s="64">
        <f t="shared" ref="J318" si="11">I318*H318</f>
        <v>65000</v>
      </c>
      <c r="K318" s="18">
        <f>+J318*1.15</f>
        <v>74750</v>
      </c>
      <c r="L318" s="18"/>
      <c r="M318" s="27">
        <f>+K318*0.067</f>
        <v>5008.25</v>
      </c>
      <c r="N318" s="27"/>
    </row>
    <row r="319" spans="3:15" x14ac:dyDescent="0.35">
      <c r="C319" s="113" t="s">
        <v>288</v>
      </c>
      <c r="D319" s="114"/>
      <c r="E319" s="114"/>
      <c r="F319" s="114"/>
      <c r="G319" s="114"/>
      <c r="H319" s="114"/>
      <c r="I319" s="28"/>
      <c r="J319" s="42">
        <f>SUM(J318:J318)</f>
        <v>65000</v>
      </c>
      <c r="K319" s="18"/>
      <c r="L319" s="23"/>
      <c r="M319" s="23"/>
      <c r="N319" s="23"/>
    </row>
    <row r="320" spans="3:15" x14ac:dyDescent="0.35">
      <c r="C320" s="115" t="s">
        <v>43</v>
      </c>
      <c r="D320" s="109"/>
      <c r="E320" s="109"/>
      <c r="F320" s="109"/>
      <c r="G320" s="109"/>
      <c r="H320" s="109"/>
      <c r="I320" s="110"/>
      <c r="J320" s="64">
        <f>J319*0.1</f>
        <v>6500</v>
      </c>
      <c r="K320" s="18"/>
      <c r="L320" s="27"/>
      <c r="M320" s="27"/>
      <c r="N320" s="27"/>
    </row>
    <row r="321" spans="3:14" x14ac:dyDescent="0.35">
      <c r="C321" s="115" t="s">
        <v>51</v>
      </c>
      <c r="D321" s="109"/>
      <c r="E321" s="109"/>
      <c r="F321" s="109"/>
      <c r="G321" s="109"/>
      <c r="H321" s="109"/>
      <c r="I321" s="110"/>
      <c r="J321" s="64">
        <f>J319*0.05</f>
        <v>3250</v>
      </c>
      <c r="K321" s="18"/>
      <c r="L321" s="27"/>
      <c r="M321" s="27"/>
      <c r="N321" s="27"/>
    </row>
    <row r="322" spans="3:14" x14ac:dyDescent="0.35">
      <c r="C322" s="108" t="s">
        <v>24</v>
      </c>
      <c r="D322" s="109"/>
      <c r="E322" s="109"/>
      <c r="F322" s="109"/>
      <c r="G322" s="109"/>
      <c r="H322" s="109"/>
      <c r="I322" s="110"/>
      <c r="J322" s="42">
        <f>SUM(J319:J321)</f>
        <v>74750</v>
      </c>
      <c r="K322" s="31">
        <f>SUM(K318:K318)</f>
        <v>74750</v>
      </c>
      <c r="L322" s="31"/>
      <c r="M322" s="31">
        <f>SUM(M318:M318)</f>
        <v>5008.25</v>
      </c>
      <c r="N322" s="31"/>
    </row>
    <row r="323" spans="3:14" ht="30.75" customHeight="1" x14ac:dyDescent="0.35">
      <c r="C323" s="39"/>
      <c r="D323" s="19" t="s">
        <v>279</v>
      </c>
      <c r="E323" s="106" t="s">
        <v>186</v>
      </c>
      <c r="F323" s="107"/>
      <c r="G323" s="19"/>
      <c r="H323" s="19"/>
      <c r="I323" s="19"/>
      <c r="J323" s="68"/>
      <c r="K323" s="16"/>
      <c r="L323" s="16"/>
      <c r="M323" s="16"/>
      <c r="N323" s="16"/>
    </row>
    <row r="324" spans="3:14" ht="27.75" customHeight="1" x14ac:dyDescent="0.35">
      <c r="C324" s="39">
        <v>1</v>
      </c>
      <c r="D324" s="63"/>
      <c r="E324" s="118" t="s">
        <v>198</v>
      </c>
      <c r="F324" s="119"/>
      <c r="G324" s="19" t="s">
        <v>4</v>
      </c>
      <c r="H324" s="19">
        <v>330</v>
      </c>
      <c r="I324" s="25">
        <v>100</v>
      </c>
      <c r="J324" s="64">
        <f>I324*H324</f>
        <v>33000</v>
      </c>
      <c r="K324" s="40"/>
      <c r="L324" s="59">
        <f>+J324*1.15</f>
        <v>37950</v>
      </c>
      <c r="M324" s="41"/>
      <c r="N324" s="41">
        <f>+L324*0.025</f>
        <v>948.75</v>
      </c>
    </row>
    <row r="325" spans="3:14" ht="30.75" customHeight="1" x14ac:dyDescent="0.35">
      <c r="C325" s="39">
        <v>2</v>
      </c>
      <c r="D325" s="63"/>
      <c r="E325" s="118" t="s">
        <v>185</v>
      </c>
      <c r="F325" s="119"/>
      <c r="G325" s="19" t="s">
        <v>3</v>
      </c>
      <c r="H325" s="19">
        <v>6</v>
      </c>
      <c r="I325" s="25">
        <v>500</v>
      </c>
      <c r="J325" s="64">
        <f>I325*H325</f>
        <v>3000</v>
      </c>
      <c r="K325" s="40"/>
      <c r="L325" s="59">
        <f>+J325*1.15</f>
        <v>3449.9999999999995</v>
      </c>
      <c r="M325" s="41"/>
      <c r="N325" s="41">
        <f>+L325*0.025</f>
        <v>86.25</v>
      </c>
    </row>
    <row r="326" spans="3:14" x14ac:dyDescent="0.35">
      <c r="C326" s="113" t="s">
        <v>187</v>
      </c>
      <c r="D326" s="114"/>
      <c r="E326" s="114"/>
      <c r="F326" s="114"/>
      <c r="G326" s="114"/>
      <c r="H326" s="114"/>
      <c r="I326" s="28"/>
      <c r="J326" s="42">
        <f>SUM(J324:J325)</f>
        <v>36000</v>
      </c>
      <c r="K326" s="40"/>
      <c r="L326" s="42"/>
      <c r="M326" s="42"/>
      <c r="N326" s="42"/>
    </row>
    <row r="327" spans="3:14" ht="15" customHeight="1" x14ac:dyDescent="0.35">
      <c r="C327" s="115" t="s">
        <v>43</v>
      </c>
      <c r="D327" s="109"/>
      <c r="E327" s="109"/>
      <c r="F327" s="109"/>
      <c r="G327" s="109"/>
      <c r="H327" s="109"/>
      <c r="I327" s="110"/>
      <c r="J327" s="64">
        <f>J326*0.1</f>
        <v>3600</v>
      </c>
      <c r="K327" s="40"/>
      <c r="L327" s="41"/>
      <c r="M327" s="41"/>
      <c r="N327" s="41"/>
    </row>
    <row r="328" spans="3:14" ht="15" customHeight="1" x14ac:dyDescent="0.35">
      <c r="C328" s="115" t="s">
        <v>87</v>
      </c>
      <c r="D328" s="109"/>
      <c r="E328" s="109"/>
      <c r="F328" s="109"/>
      <c r="G328" s="109"/>
      <c r="H328" s="109"/>
      <c r="I328" s="110"/>
      <c r="J328" s="64">
        <f>J326*0.05</f>
        <v>1800</v>
      </c>
      <c r="K328" s="40"/>
      <c r="L328" s="41"/>
      <c r="M328" s="41"/>
      <c r="N328" s="41"/>
    </row>
    <row r="329" spans="3:14" ht="15" customHeight="1" x14ac:dyDescent="0.35">
      <c r="C329" s="108" t="s">
        <v>24</v>
      </c>
      <c r="D329" s="109"/>
      <c r="E329" s="109"/>
      <c r="F329" s="109"/>
      <c r="G329" s="109"/>
      <c r="H329" s="109"/>
      <c r="I329" s="110"/>
      <c r="J329" s="42">
        <f>SUM(J326:J328)</f>
        <v>41400</v>
      </c>
      <c r="K329" s="40"/>
      <c r="L329" s="43">
        <f>SUM(L324:L328)</f>
        <v>41400</v>
      </c>
      <c r="M329" s="41"/>
      <c r="N329" s="43">
        <f>SUM(N324:N328)</f>
        <v>1035</v>
      </c>
    </row>
    <row r="330" spans="3:14" ht="28.5" customHeight="1" x14ac:dyDescent="0.35">
      <c r="C330" s="39"/>
      <c r="D330" s="19" t="s">
        <v>195</v>
      </c>
      <c r="E330" s="106" t="s">
        <v>188</v>
      </c>
      <c r="F330" s="107"/>
      <c r="G330" s="19"/>
      <c r="H330" s="19"/>
      <c r="I330" s="25"/>
      <c r="J330" s="66"/>
      <c r="K330" s="40"/>
      <c r="L330" s="40"/>
      <c r="M330" s="41"/>
      <c r="N330" s="41"/>
    </row>
    <row r="331" spans="3:14" ht="28.5" customHeight="1" x14ac:dyDescent="0.35">
      <c r="C331" s="39">
        <v>1</v>
      </c>
      <c r="D331" s="63"/>
      <c r="E331" s="118" t="s">
        <v>199</v>
      </c>
      <c r="F331" s="119"/>
      <c r="G331" s="19" t="s">
        <v>4</v>
      </c>
      <c r="H331" s="19">
        <v>530</v>
      </c>
      <c r="I331" s="25">
        <v>200</v>
      </c>
      <c r="J331" s="64">
        <f>I331*H331</f>
        <v>106000</v>
      </c>
      <c r="K331" s="40"/>
      <c r="L331" s="59">
        <f>+J331*1.15</f>
        <v>121899.99999999999</v>
      </c>
      <c r="M331" s="41"/>
      <c r="N331" s="41">
        <f>+L331*0.025</f>
        <v>3047.5</v>
      </c>
    </row>
    <row r="332" spans="3:14" ht="28.5" customHeight="1" x14ac:dyDescent="0.35">
      <c r="C332" s="39">
        <v>2</v>
      </c>
      <c r="D332" s="19"/>
      <c r="E332" s="118" t="s">
        <v>200</v>
      </c>
      <c r="F332" s="119"/>
      <c r="G332" s="19" t="s">
        <v>3</v>
      </c>
      <c r="H332" s="19">
        <v>8</v>
      </c>
      <c r="I332" s="25">
        <v>500</v>
      </c>
      <c r="J332" s="64">
        <f>I332*H332</f>
        <v>4000</v>
      </c>
      <c r="K332" s="40"/>
      <c r="L332" s="59">
        <f>+J332*1.15</f>
        <v>4600</v>
      </c>
      <c r="M332" s="41"/>
      <c r="N332" s="41">
        <f>+L332*0.025</f>
        <v>115</v>
      </c>
    </row>
    <row r="333" spans="3:14" ht="29.25" customHeight="1" x14ac:dyDescent="0.35">
      <c r="C333" s="113" t="s">
        <v>189</v>
      </c>
      <c r="D333" s="114"/>
      <c r="E333" s="114"/>
      <c r="F333" s="114"/>
      <c r="G333" s="114"/>
      <c r="H333" s="114"/>
      <c r="I333" s="28"/>
      <c r="J333" s="42">
        <f>SUM(J331:J332)</f>
        <v>110000</v>
      </c>
      <c r="K333" s="40"/>
      <c r="L333" s="40"/>
      <c r="M333" s="41"/>
      <c r="N333" s="41"/>
    </row>
    <row r="334" spans="3:14" ht="15" customHeight="1" x14ac:dyDescent="0.35">
      <c r="C334" s="115" t="s">
        <v>87</v>
      </c>
      <c r="D334" s="109"/>
      <c r="E334" s="109"/>
      <c r="F334" s="109"/>
      <c r="G334" s="109"/>
      <c r="H334" s="109"/>
      <c r="I334" s="110"/>
      <c r="J334" s="64">
        <f>J333*0.1</f>
        <v>11000</v>
      </c>
      <c r="K334" s="40"/>
      <c r="L334" s="40"/>
      <c r="M334" s="41"/>
      <c r="N334" s="41"/>
    </row>
    <row r="335" spans="3:14" ht="15" customHeight="1" x14ac:dyDescent="0.35">
      <c r="J335" s="64">
        <f>J333*0.05</f>
        <v>5500</v>
      </c>
      <c r="K335" s="40"/>
      <c r="L335" s="40"/>
      <c r="M335" s="41"/>
      <c r="N335" s="41"/>
    </row>
    <row r="336" spans="3:14" ht="15" customHeight="1" x14ac:dyDescent="0.35">
      <c r="C336" s="108" t="s">
        <v>24</v>
      </c>
      <c r="D336" s="109"/>
      <c r="E336" s="109"/>
      <c r="F336" s="109"/>
      <c r="G336" s="109"/>
      <c r="H336" s="109"/>
      <c r="I336" s="110"/>
      <c r="J336" s="42">
        <f>SUM(J333:J335)</f>
        <v>126500</v>
      </c>
      <c r="K336" s="45"/>
      <c r="L336" s="43">
        <f>SUM(L331:L335)</f>
        <v>126499.99999999999</v>
      </c>
      <c r="M336" s="43"/>
      <c r="N336" s="43">
        <f>SUM(N331:N335)</f>
        <v>3162.5</v>
      </c>
    </row>
    <row r="337" spans="3:15" ht="29.15" customHeight="1" x14ac:dyDescent="0.35">
      <c r="C337" s="24"/>
      <c r="D337" s="19" t="s">
        <v>285</v>
      </c>
      <c r="E337" s="106" t="s">
        <v>286</v>
      </c>
      <c r="F337" s="107"/>
      <c r="G337" s="29"/>
      <c r="H337" s="29"/>
      <c r="I337" s="30"/>
      <c r="J337" s="42"/>
      <c r="K337" s="18"/>
      <c r="L337" s="31"/>
      <c r="M337" s="27"/>
      <c r="N337" s="31"/>
    </row>
    <row r="338" spans="3:15" ht="15" customHeight="1" x14ac:dyDescent="0.35">
      <c r="C338" s="48"/>
      <c r="D338" s="63"/>
      <c r="E338" s="111" t="s">
        <v>287</v>
      </c>
      <c r="F338" s="112"/>
      <c r="G338" s="24" t="s">
        <v>73</v>
      </c>
      <c r="H338" s="19">
        <v>1</v>
      </c>
      <c r="I338" s="25">
        <v>40000</v>
      </c>
      <c r="J338" s="64">
        <f t="shared" ref="J338" si="12">I338*H338</f>
        <v>40000</v>
      </c>
      <c r="K338" s="18">
        <f>+J338*1.15</f>
        <v>46000</v>
      </c>
      <c r="L338" s="18"/>
      <c r="M338" s="27">
        <f>+K338*0.067</f>
        <v>3082</v>
      </c>
      <c r="N338" s="27"/>
    </row>
    <row r="339" spans="3:15" ht="15" customHeight="1" x14ac:dyDescent="0.35">
      <c r="C339" s="113" t="s">
        <v>288</v>
      </c>
      <c r="D339" s="114"/>
      <c r="E339" s="114"/>
      <c r="F339" s="114"/>
      <c r="G339" s="114"/>
      <c r="H339" s="114"/>
      <c r="I339" s="28"/>
      <c r="J339" s="42">
        <f>SUM(J338:J338)</f>
        <v>40000</v>
      </c>
      <c r="K339" s="18"/>
      <c r="L339" s="18"/>
      <c r="M339" s="27"/>
      <c r="N339" s="27"/>
    </row>
    <row r="340" spans="3:15" ht="15" customHeight="1" x14ac:dyDescent="0.35">
      <c r="C340" s="115" t="s">
        <v>43</v>
      </c>
      <c r="D340" s="109"/>
      <c r="E340" s="109"/>
      <c r="F340" s="109"/>
      <c r="G340" s="109"/>
      <c r="H340" s="109"/>
      <c r="I340" s="110"/>
      <c r="J340" s="64">
        <f>J339*0.1</f>
        <v>4000</v>
      </c>
      <c r="K340" s="18"/>
      <c r="L340" s="27"/>
      <c r="M340" s="27"/>
      <c r="N340" s="27"/>
    </row>
    <row r="341" spans="3:15" ht="15" customHeight="1" x14ac:dyDescent="0.35">
      <c r="C341" s="115" t="s">
        <v>51</v>
      </c>
      <c r="D341" s="109"/>
      <c r="E341" s="109"/>
      <c r="F341" s="109"/>
      <c r="G341" s="109"/>
      <c r="H341" s="109"/>
      <c r="I341" s="110"/>
      <c r="J341" s="64">
        <f>J339*0.05</f>
        <v>2000</v>
      </c>
      <c r="K341" s="18"/>
      <c r="L341" s="27"/>
      <c r="M341" s="27"/>
      <c r="N341" s="27"/>
    </row>
    <row r="342" spans="3:15" ht="15" customHeight="1" x14ac:dyDescent="0.35">
      <c r="C342" s="108" t="s">
        <v>24</v>
      </c>
      <c r="D342" s="109"/>
      <c r="E342" s="109"/>
      <c r="F342" s="109"/>
      <c r="G342" s="109"/>
      <c r="H342" s="109"/>
      <c r="I342" s="110"/>
      <c r="J342" s="42">
        <f>SUM(J339:J341)</f>
        <v>46000</v>
      </c>
      <c r="K342" s="31">
        <f>SUM(K338:K338)</f>
        <v>46000</v>
      </c>
      <c r="L342" s="31"/>
      <c r="M342" s="31">
        <f>SUM(M338:M338)</f>
        <v>3082</v>
      </c>
      <c r="N342" s="31"/>
    </row>
    <row r="343" spans="3:15" ht="15" customHeight="1" x14ac:dyDescent="0.35">
      <c r="C343" s="108" t="s">
        <v>190</v>
      </c>
      <c r="D343" s="122"/>
      <c r="E343" s="122"/>
      <c r="F343" s="122"/>
      <c r="G343" s="122"/>
      <c r="H343" s="122"/>
      <c r="I343" s="123"/>
      <c r="J343" s="42">
        <f>+J342+J336+J329+J322</f>
        <v>288650</v>
      </c>
      <c r="K343" s="42">
        <f t="shared" ref="K343:N343" si="13">+K342+K336+K329+K322</f>
        <v>120750</v>
      </c>
      <c r="L343" s="42">
        <f t="shared" si="13"/>
        <v>167900</v>
      </c>
      <c r="M343" s="42">
        <f t="shared" si="13"/>
        <v>8090.25</v>
      </c>
      <c r="N343" s="42">
        <f t="shared" si="13"/>
        <v>4197.5</v>
      </c>
      <c r="O343" s="49"/>
    </row>
    <row r="344" spans="3:15" ht="82" customHeight="1" x14ac:dyDescent="0.35">
      <c r="C344" s="24"/>
      <c r="D344" s="74"/>
      <c r="E344" s="116" t="s">
        <v>265</v>
      </c>
      <c r="F344" s="117"/>
      <c r="G344" s="17" t="s">
        <v>73</v>
      </c>
      <c r="H344" s="56">
        <v>1</v>
      </c>
      <c r="I344" s="50">
        <v>250000</v>
      </c>
      <c r="J344" s="42">
        <f t="shared" ref="J344" si="14">I344*H344</f>
        <v>250000</v>
      </c>
      <c r="K344" s="18">
        <f>+J344*1.15</f>
        <v>287500</v>
      </c>
      <c r="L344" s="18"/>
      <c r="M344" s="27">
        <f>+K344*0.067</f>
        <v>19262.5</v>
      </c>
      <c r="N344" s="27"/>
      <c r="O344" s="49"/>
    </row>
    <row r="345" spans="3:15" ht="30" customHeight="1" x14ac:dyDescent="0.35">
      <c r="C345" s="113" t="s">
        <v>293</v>
      </c>
      <c r="D345" s="114"/>
      <c r="E345" s="114"/>
      <c r="F345" s="114"/>
      <c r="G345" s="114"/>
      <c r="H345" s="114"/>
      <c r="I345" s="28"/>
      <c r="J345" s="42">
        <f>SUM(J344:J344)</f>
        <v>250000</v>
      </c>
      <c r="K345" s="18"/>
      <c r="L345" s="18"/>
      <c r="M345" s="27"/>
      <c r="N345" s="27"/>
      <c r="O345" s="49"/>
    </row>
    <row r="346" spans="3:15" ht="15" customHeight="1" x14ac:dyDescent="0.35">
      <c r="C346" s="115" t="s">
        <v>43</v>
      </c>
      <c r="D346" s="109"/>
      <c r="E346" s="109"/>
      <c r="F346" s="109"/>
      <c r="G346" s="109"/>
      <c r="H346" s="109"/>
      <c r="I346" s="110"/>
      <c r="J346" s="64">
        <f>J345*0.1</f>
        <v>25000</v>
      </c>
      <c r="K346" s="18"/>
      <c r="L346" s="27"/>
      <c r="M346" s="27"/>
      <c r="N346" s="27"/>
      <c r="O346" s="49"/>
    </row>
    <row r="347" spans="3:15" ht="15" customHeight="1" x14ac:dyDescent="0.35">
      <c r="C347" s="115" t="s">
        <v>51</v>
      </c>
      <c r="D347" s="109"/>
      <c r="E347" s="109"/>
      <c r="F347" s="109"/>
      <c r="G347" s="109"/>
      <c r="H347" s="109"/>
      <c r="I347" s="110"/>
      <c r="J347" s="64">
        <f>J345*0.05</f>
        <v>12500</v>
      </c>
      <c r="K347" s="18"/>
      <c r="L347" s="27"/>
      <c r="M347" s="27"/>
      <c r="N347" s="27"/>
      <c r="O347" s="49"/>
    </row>
    <row r="348" spans="3:15" ht="15" customHeight="1" x14ac:dyDescent="0.35">
      <c r="C348" s="108" t="s">
        <v>24</v>
      </c>
      <c r="D348" s="109"/>
      <c r="E348" s="109"/>
      <c r="F348" s="109"/>
      <c r="G348" s="109"/>
      <c r="H348" s="109"/>
      <c r="I348" s="110"/>
      <c r="J348" s="42">
        <f>SUM(J345:J347)</f>
        <v>287500</v>
      </c>
      <c r="K348" s="31">
        <f>SUM(K344:K344)</f>
        <v>287500</v>
      </c>
      <c r="L348" s="31"/>
      <c r="M348" s="31">
        <f>SUM(M344:M344)</f>
        <v>19262.5</v>
      </c>
      <c r="N348" s="31"/>
      <c r="O348" s="49"/>
    </row>
    <row r="349" spans="3:15" ht="31" customHeight="1" x14ac:dyDescent="0.35">
      <c r="C349" s="24"/>
      <c r="D349" s="19" t="s">
        <v>285</v>
      </c>
      <c r="E349" s="106" t="s">
        <v>290</v>
      </c>
      <c r="F349" s="107"/>
      <c r="G349" s="29"/>
      <c r="H349" s="29"/>
      <c r="I349" s="30"/>
      <c r="J349" s="42"/>
      <c r="K349" s="31"/>
      <c r="L349" s="31"/>
      <c r="M349" s="31"/>
      <c r="N349" s="31"/>
      <c r="O349" s="49"/>
    </row>
    <row r="350" spans="3:15" ht="15" customHeight="1" x14ac:dyDescent="0.35">
      <c r="C350" s="48"/>
      <c r="D350" s="19"/>
      <c r="E350" s="111" t="s">
        <v>289</v>
      </c>
      <c r="F350" s="112"/>
      <c r="G350" s="24" t="s">
        <v>73</v>
      </c>
      <c r="H350" s="19">
        <v>1</v>
      </c>
      <c r="I350" s="25">
        <v>50000</v>
      </c>
      <c r="J350" s="64">
        <f t="shared" ref="J350" si="15">I350*H350</f>
        <v>50000</v>
      </c>
      <c r="K350" s="18">
        <f>+J350*1.15</f>
        <v>57499.999999999993</v>
      </c>
      <c r="L350" s="18"/>
      <c r="M350" s="27">
        <f>+K350*0.067</f>
        <v>3852.4999999999995</v>
      </c>
      <c r="N350" s="27"/>
      <c r="O350" s="49"/>
    </row>
    <row r="351" spans="3:15" ht="15" customHeight="1" x14ac:dyDescent="0.35">
      <c r="C351" s="113" t="s">
        <v>291</v>
      </c>
      <c r="D351" s="114"/>
      <c r="E351" s="114"/>
      <c r="F351" s="114"/>
      <c r="G351" s="114"/>
      <c r="H351" s="114"/>
      <c r="I351" s="28"/>
      <c r="J351" s="42">
        <f>SUM(J350:J350)</f>
        <v>50000</v>
      </c>
      <c r="K351" s="18"/>
      <c r="L351" s="18"/>
      <c r="M351" s="27"/>
      <c r="N351" s="27"/>
      <c r="O351" s="49"/>
    </row>
    <row r="352" spans="3:15" ht="15" customHeight="1" x14ac:dyDescent="0.35">
      <c r="C352" s="115" t="s">
        <v>43</v>
      </c>
      <c r="D352" s="109"/>
      <c r="E352" s="109"/>
      <c r="F352" s="109"/>
      <c r="G352" s="109"/>
      <c r="H352" s="109"/>
      <c r="I352" s="110"/>
      <c r="J352" s="64">
        <f>J351*0.1</f>
        <v>5000</v>
      </c>
      <c r="K352" s="18"/>
      <c r="L352" s="27"/>
      <c r="M352" s="27"/>
      <c r="N352" s="27"/>
      <c r="O352" s="49"/>
    </row>
    <row r="353" spans="3:15" ht="15" customHeight="1" x14ac:dyDescent="0.35">
      <c r="C353" s="115" t="s">
        <v>51</v>
      </c>
      <c r="D353" s="109"/>
      <c r="E353" s="109"/>
      <c r="F353" s="109"/>
      <c r="G353" s="109"/>
      <c r="H353" s="109"/>
      <c r="I353" s="110"/>
      <c r="J353" s="64">
        <f>J351*0.05</f>
        <v>2500</v>
      </c>
      <c r="K353" s="18"/>
      <c r="L353" s="27"/>
      <c r="M353" s="27"/>
      <c r="N353" s="27"/>
      <c r="O353" s="49"/>
    </row>
    <row r="354" spans="3:15" ht="15" customHeight="1" x14ac:dyDescent="0.35">
      <c r="C354" s="108" t="s">
        <v>24</v>
      </c>
      <c r="D354" s="109"/>
      <c r="E354" s="109"/>
      <c r="F354" s="109"/>
      <c r="G354" s="109"/>
      <c r="H354" s="109"/>
      <c r="I354" s="110"/>
      <c r="J354" s="42">
        <f>SUM(J351:J353)</f>
        <v>57500</v>
      </c>
      <c r="K354" s="43">
        <f>SUM(K350:K350)</f>
        <v>57499.999999999993</v>
      </c>
      <c r="L354" s="43"/>
      <c r="M354" s="43">
        <f>SUM(M350:M350)</f>
        <v>3852.4999999999995</v>
      </c>
      <c r="N354" s="43"/>
      <c r="O354" s="49"/>
    </row>
    <row r="355" spans="3:15" ht="15" customHeight="1" x14ac:dyDescent="0.35">
      <c r="C355" s="108" t="s">
        <v>67</v>
      </c>
      <c r="D355" s="122"/>
      <c r="E355" s="122"/>
      <c r="F355" s="122"/>
      <c r="G355" s="122"/>
      <c r="H355" s="122"/>
      <c r="I355" s="146"/>
      <c r="J355" s="42">
        <f>+J147+J162+J192+J227+J256+J293+J315+J343+J348+J354</f>
        <v>7020510</v>
      </c>
      <c r="K355" s="42">
        <f t="shared" ref="K355:N355" si="16">+K147+K162+K192+K227+K256+K293+K315+K343+K348+K354</f>
        <v>664875</v>
      </c>
      <c r="L355" s="42">
        <f t="shared" si="16"/>
        <v>6355635</v>
      </c>
      <c r="M355" s="42">
        <f t="shared" si="16"/>
        <v>44546.625</v>
      </c>
      <c r="N355" s="42">
        <f t="shared" si="16"/>
        <v>158890.875</v>
      </c>
      <c r="O355" s="49"/>
    </row>
    <row r="356" spans="3:15" ht="15" customHeight="1" x14ac:dyDescent="0.35">
      <c r="C356" s="108" t="s">
        <v>68</v>
      </c>
      <c r="D356" s="122"/>
      <c r="E356" s="122"/>
      <c r="F356" s="122"/>
      <c r="G356" s="122"/>
      <c r="H356" s="122"/>
      <c r="I356" s="146"/>
      <c r="J356" s="42">
        <f>+J355+J109</f>
        <v>8738610</v>
      </c>
      <c r="K356" s="42">
        <f>+K355+K109</f>
        <v>1564175</v>
      </c>
      <c r="L356" s="42">
        <f>+L355+L109</f>
        <v>7174435</v>
      </c>
      <c r="M356" s="42">
        <f>+M355+M109</f>
        <v>102143.22499999999</v>
      </c>
      <c r="N356" s="42">
        <f>+N355+N109</f>
        <v>179360.875</v>
      </c>
      <c r="O356" s="49"/>
    </row>
    <row r="357" spans="3:15" ht="18" x14ac:dyDescent="0.4">
      <c r="C357" s="101" t="s">
        <v>305</v>
      </c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3"/>
    </row>
    <row r="358" spans="3:15" ht="37" customHeight="1" x14ac:dyDescent="0.4">
      <c r="C358" s="104" t="s">
        <v>306</v>
      </c>
      <c r="D358" s="105"/>
      <c r="E358" s="105"/>
      <c r="F358" s="105"/>
      <c r="G358" s="105"/>
      <c r="H358" s="105"/>
      <c r="I358" s="105"/>
      <c r="J358" s="105"/>
      <c r="K358" s="75" t="s">
        <v>46</v>
      </c>
      <c r="L358" s="75" t="s">
        <v>47</v>
      </c>
      <c r="M358" s="76" t="s">
        <v>48</v>
      </c>
      <c r="N358" s="77" t="s">
        <v>49</v>
      </c>
    </row>
    <row r="359" spans="3:15" ht="29" customHeight="1" x14ac:dyDescent="0.35">
      <c r="C359" s="78"/>
      <c r="D359" s="79" t="s">
        <v>294</v>
      </c>
      <c r="E359" s="88" t="s">
        <v>296</v>
      </c>
      <c r="F359" s="89"/>
      <c r="G359" s="79"/>
      <c r="H359" s="79"/>
      <c r="I359" s="79"/>
      <c r="J359" s="79"/>
      <c r="K359" s="75"/>
      <c r="L359" s="75"/>
      <c r="M359" s="75"/>
      <c r="N359" s="75"/>
    </row>
    <row r="360" spans="3:15" ht="29" customHeight="1" x14ac:dyDescent="0.35">
      <c r="C360" s="78">
        <v>1</v>
      </c>
      <c r="D360" s="79"/>
      <c r="E360" s="90" t="s">
        <v>301</v>
      </c>
      <c r="F360" s="91"/>
      <c r="G360" s="79" t="s">
        <v>4</v>
      </c>
      <c r="H360" s="79">
        <v>770</v>
      </c>
      <c r="I360" s="80">
        <v>200</v>
      </c>
      <c r="J360" s="81">
        <f t="shared" ref="J360" si="17">I360*H360</f>
        <v>154000</v>
      </c>
      <c r="K360" s="75"/>
      <c r="L360" s="75">
        <f t="shared" ref="L360" si="18">+J360*1.2</f>
        <v>184800</v>
      </c>
      <c r="M360" s="75"/>
      <c r="N360" s="82">
        <f t="shared" ref="N360" si="19">+L360*0.025</f>
        <v>4620</v>
      </c>
    </row>
    <row r="361" spans="3:15" ht="18.5" customHeight="1" x14ac:dyDescent="0.35">
      <c r="C361" s="83"/>
      <c r="D361" s="83" t="s">
        <v>295</v>
      </c>
      <c r="E361" s="88" t="s">
        <v>299</v>
      </c>
      <c r="F361" s="89"/>
      <c r="G361" s="79"/>
      <c r="H361" s="79"/>
      <c r="I361" s="84"/>
      <c r="J361" s="85"/>
      <c r="K361" s="75"/>
      <c r="L361" s="75"/>
      <c r="M361" s="75"/>
      <c r="N361" s="75"/>
    </row>
    <row r="362" spans="3:15" ht="29" customHeight="1" x14ac:dyDescent="0.35">
      <c r="C362" s="83">
        <v>2</v>
      </c>
      <c r="D362" s="83"/>
      <c r="E362" s="90" t="s">
        <v>302</v>
      </c>
      <c r="F362" s="91"/>
      <c r="G362" s="79" t="s">
        <v>4</v>
      </c>
      <c r="H362" s="79">
        <v>1620</v>
      </c>
      <c r="I362" s="80">
        <v>90</v>
      </c>
      <c r="J362" s="81">
        <f t="shared" ref="J362" si="20">I362*H362</f>
        <v>145800</v>
      </c>
      <c r="K362" s="75"/>
      <c r="L362" s="75">
        <f t="shared" ref="L362" si="21">+J362*1.2</f>
        <v>174960</v>
      </c>
      <c r="M362" s="75"/>
      <c r="N362" s="75">
        <f t="shared" ref="N362" si="22">+L362*0.025</f>
        <v>4374</v>
      </c>
    </row>
    <row r="363" spans="3:15" ht="29" customHeight="1" x14ac:dyDescent="0.35">
      <c r="C363" s="83"/>
      <c r="D363" s="83" t="s">
        <v>297</v>
      </c>
      <c r="E363" s="88" t="s">
        <v>300</v>
      </c>
      <c r="F363" s="89"/>
      <c r="G363" s="79"/>
      <c r="H363" s="79"/>
      <c r="I363" s="80"/>
      <c r="J363" s="81"/>
      <c r="K363" s="75"/>
      <c r="L363" s="75"/>
      <c r="M363" s="75"/>
      <c r="N363" s="75"/>
    </row>
    <row r="364" spans="3:15" ht="27.5" customHeight="1" x14ac:dyDescent="0.35">
      <c r="C364" s="83">
        <v>3</v>
      </c>
      <c r="D364" s="83"/>
      <c r="E364" s="90" t="s">
        <v>303</v>
      </c>
      <c r="F364" s="91"/>
      <c r="G364" s="83" t="s">
        <v>32</v>
      </c>
      <c r="H364" s="83">
        <v>2</v>
      </c>
      <c r="I364" s="86">
        <v>22500</v>
      </c>
      <c r="J364" s="81">
        <f t="shared" ref="J364" si="23">I364*H364</f>
        <v>45000</v>
      </c>
      <c r="K364" s="75">
        <f>+J364*1.2</f>
        <v>54000</v>
      </c>
      <c r="L364" s="75"/>
      <c r="M364" s="82">
        <f t="shared" ref="M364" si="24">+K364*0.0667</f>
        <v>3601.7999999999997</v>
      </c>
      <c r="N364" s="75"/>
    </row>
    <row r="365" spans="3:15" x14ac:dyDescent="0.35">
      <c r="C365" s="92" t="s">
        <v>298</v>
      </c>
      <c r="D365" s="93"/>
      <c r="E365" s="93"/>
      <c r="F365" s="93"/>
      <c r="G365" s="93"/>
      <c r="H365" s="93"/>
      <c r="I365" s="94"/>
      <c r="J365" s="87">
        <f>SUM(J359:J364)</f>
        <v>344800</v>
      </c>
      <c r="K365" s="75"/>
      <c r="L365" s="75"/>
      <c r="M365" s="82"/>
      <c r="N365" s="82"/>
    </row>
    <row r="366" spans="3:15" x14ac:dyDescent="0.35">
      <c r="C366" s="95" t="s">
        <v>42</v>
      </c>
      <c r="D366" s="96"/>
      <c r="E366" s="96"/>
      <c r="F366" s="96"/>
      <c r="G366" s="96"/>
      <c r="H366" s="96"/>
      <c r="I366" s="97"/>
      <c r="J366" s="81">
        <f>J365*0.05</f>
        <v>17240</v>
      </c>
      <c r="K366" s="75"/>
      <c r="L366" s="75"/>
      <c r="M366" s="75"/>
      <c r="N366" s="75"/>
    </row>
    <row r="367" spans="3:15" x14ac:dyDescent="0.35">
      <c r="C367" s="95" t="s">
        <v>43</v>
      </c>
      <c r="D367" s="96"/>
      <c r="E367" s="96"/>
      <c r="F367" s="96"/>
      <c r="G367" s="96"/>
      <c r="H367" s="96"/>
      <c r="I367" s="97"/>
      <c r="J367" s="81">
        <f>J365*0.1</f>
        <v>34480</v>
      </c>
      <c r="K367" s="75"/>
      <c r="L367" s="75"/>
      <c r="M367" s="75"/>
      <c r="N367" s="75"/>
    </row>
    <row r="368" spans="3:15" x14ac:dyDescent="0.35">
      <c r="C368" s="95" t="s">
        <v>51</v>
      </c>
      <c r="D368" s="96"/>
      <c r="E368" s="96"/>
      <c r="F368" s="96"/>
      <c r="G368" s="96"/>
      <c r="H368" s="96"/>
      <c r="I368" s="97"/>
      <c r="J368" s="81">
        <f>J365*0.05</f>
        <v>17240</v>
      </c>
      <c r="K368" s="75"/>
      <c r="L368" s="75"/>
      <c r="M368" s="82">
        <f t="shared" ref="M368" si="25">+K368*0.0667</f>
        <v>0</v>
      </c>
      <c r="N368" s="82"/>
    </row>
    <row r="369" spans="3:15" ht="18" x14ac:dyDescent="0.4">
      <c r="C369" s="98" t="s">
        <v>304</v>
      </c>
      <c r="D369" s="99"/>
      <c r="E369" s="99"/>
      <c r="F369" s="99"/>
      <c r="G369" s="99"/>
      <c r="H369" s="99"/>
      <c r="I369" s="100"/>
      <c r="J369" s="87">
        <f>+J365+J366+J367+J368</f>
        <v>413760</v>
      </c>
      <c r="K369" s="87">
        <f>SUM(K359:K368)</f>
        <v>54000</v>
      </c>
      <c r="L369" s="87">
        <f>SUM(L359:L368)</f>
        <v>359760</v>
      </c>
      <c r="M369" s="87">
        <f>SUM(M359:M368)</f>
        <v>3601.7999999999997</v>
      </c>
      <c r="N369" s="87">
        <f>SUM(N359:N368)</f>
        <v>8994</v>
      </c>
      <c r="O369" s="49"/>
    </row>
  </sheetData>
  <mergeCells count="374">
    <mergeCell ref="C313:I313"/>
    <mergeCell ref="C314:I314"/>
    <mergeCell ref="C275:H275"/>
    <mergeCell ref="C276:I276"/>
    <mergeCell ref="C277:I277"/>
    <mergeCell ref="C278:I278"/>
    <mergeCell ref="E309:F309"/>
    <mergeCell ref="E310:F310"/>
    <mergeCell ref="C311:H311"/>
    <mergeCell ref="C305:I305"/>
    <mergeCell ref="C306:I306"/>
    <mergeCell ref="C307:I307"/>
    <mergeCell ref="C289:I289"/>
    <mergeCell ref="C290:I290"/>
    <mergeCell ref="E280:F280"/>
    <mergeCell ref="C298:I298"/>
    <mergeCell ref="C299:I299"/>
    <mergeCell ref="C300:I300"/>
    <mergeCell ref="C312:I312"/>
    <mergeCell ref="C248:I248"/>
    <mergeCell ref="E295:F295"/>
    <mergeCell ref="E296:F296"/>
    <mergeCell ref="C252:H252"/>
    <mergeCell ref="C285:I285"/>
    <mergeCell ref="E274:F274"/>
    <mergeCell ref="C240:I240"/>
    <mergeCell ref="C241:I241"/>
    <mergeCell ref="E243:F243"/>
    <mergeCell ref="E260:F260"/>
    <mergeCell ref="C261:H261"/>
    <mergeCell ref="C262:I262"/>
    <mergeCell ref="C263:I263"/>
    <mergeCell ref="C264:I264"/>
    <mergeCell ref="E272:F272"/>
    <mergeCell ref="E273:F273"/>
    <mergeCell ref="C193:J193"/>
    <mergeCell ref="E194:F194"/>
    <mergeCell ref="C225:I225"/>
    <mergeCell ref="C256:I256"/>
    <mergeCell ref="C257:J257"/>
    <mergeCell ref="C200:I200"/>
    <mergeCell ref="C219:I219"/>
    <mergeCell ref="C220:I220"/>
    <mergeCell ref="E195:F195"/>
    <mergeCell ref="E196:F196"/>
    <mergeCell ref="C197:H197"/>
    <mergeCell ref="C198:I198"/>
    <mergeCell ref="C199:I199"/>
    <mergeCell ref="E209:F209"/>
    <mergeCell ref="C210:H210"/>
    <mergeCell ref="C211:I211"/>
    <mergeCell ref="C212:I212"/>
    <mergeCell ref="C213:I213"/>
    <mergeCell ref="E221:F221"/>
    <mergeCell ref="C223:H223"/>
    <mergeCell ref="E244:F244"/>
    <mergeCell ref="C245:H245"/>
    <mergeCell ref="C246:I246"/>
    <mergeCell ref="C247:I247"/>
    <mergeCell ref="C191:I191"/>
    <mergeCell ref="E187:F187"/>
    <mergeCell ref="C188:H188"/>
    <mergeCell ref="E201:F201"/>
    <mergeCell ref="E202:F202"/>
    <mergeCell ref="E203:F203"/>
    <mergeCell ref="C204:H204"/>
    <mergeCell ref="C343:I343"/>
    <mergeCell ref="C294:J294"/>
    <mergeCell ref="C308:I308"/>
    <mergeCell ref="C316:J316"/>
    <mergeCell ref="E323:F323"/>
    <mergeCell ref="E324:F324"/>
    <mergeCell ref="E325:F325"/>
    <mergeCell ref="C326:H326"/>
    <mergeCell ref="C327:I327"/>
    <mergeCell ref="C328:I328"/>
    <mergeCell ref="C329:I329"/>
    <mergeCell ref="E330:F330"/>
    <mergeCell ref="E331:F331"/>
    <mergeCell ref="E332:F332"/>
    <mergeCell ref="C333:H333"/>
    <mergeCell ref="C334:I334"/>
    <mergeCell ref="C205:I205"/>
    <mergeCell ref="C336:I336"/>
    <mergeCell ref="C122:I122"/>
    <mergeCell ref="C123:I123"/>
    <mergeCell ref="E258:F258"/>
    <mergeCell ref="E259:F259"/>
    <mergeCell ref="C226:I226"/>
    <mergeCell ref="C227:I227"/>
    <mergeCell ref="C228:J228"/>
    <mergeCell ref="E229:F229"/>
    <mergeCell ref="E230:F230"/>
    <mergeCell ref="E231:F231"/>
    <mergeCell ref="C232:H232"/>
    <mergeCell ref="C253:I253"/>
    <mergeCell ref="C233:I233"/>
    <mergeCell ref="C234:I234"/>
    <mergeCell ref="C242:I242"/>
    <mergeCell ref="C224:I224"/>
    <mergeCell ref="E222:F222"/>
    <mergeCell ref="C218:I218"/>
    <mergeCell ref="E186:F186"/>
    <mergeCell ref="C189:I189"/>
    <mergeCell ref="C158:I158"/>
    <mergeCell ref="E303:F303"/>
    <mergeCell ref="C304:H304"/>
    <mergeCell ref="E131:F131"/>
    <mergeCell ref="E132:F132"/>
    <mergeCell ref="E133:F133"/>
    <mergeCell ref="E134:F134"/>
    <mergeCell ref="E301:F301"/>
    <mergeCell ref="E302:F302"/>
    <mergeCell ref="E265:F265"/>
    <mergeCell ref="E266:F266"/>
    <mergeCell ref="E267:F267"/>
    <mergeCell ref="C268:H268"/>
    <mergeCell ref="C269:I269"/>
    <mergeCell ref="C270:I270"/>
    <mergeCell ref="C271:I271"/>
    <mergeCell ref="C291:I291"/>
    <mergeCell ref="C292:I292"/>
    <mergeCell ref="C283:I283"/>
    <mergeCell ref="C284:I284"/>
    <mergeCell ref="C293:I293"/>
    <mergeCell ref="C144:I144"/>
    <mergeCell ref="C145:I145"/>
    <mergeCell ref="C159:I159"/>
    <mergeCell ref="C160:I160"/>
    <mergeCell ref="C161:I161"/>
    <mergeCell ref="C190:I190"/>
    <mergeCell ref="E102:F102"/>
    <mergeCell ref="C105:I105"/>
    <mergeCell ref="C106:I106"/>
    <mergeCell ref="C104:H104"/>
    <mergeCell ref="C41:I41"/>
    <mergeCell ref="C42:I42"/>
    <mergeCell ref="C43:I43"/>
    <mergeCell ref="E38:F38"/>
    <mergeCell ref="E63:F63"/>
    <mergeCell ref="C55:J55"/>
    <mergeCell ref="E56:F56"/>
    <mergeCell ref="E47:F47"/>
    <mergeCell ref="C52:I52"/>
    <mergeCell ref="E58:F58"/>
    <mergeCell ref="C59:H59"/>
    <mergeCell ref="E48:F48"/>
    <mergeCell ref="E49:F49"/>
    <mergeCell ref="C50:H50"/>
    <mergeCell ref="C121:H121"/>
    <mergeCell ref="C110:J110"/>
    <mergeCell ref="E113:F113"/>
    <mergeCell ref="E119:F119"/>
    <mergeCell ref="E120:F120"/>
    <mergeCell ref="E112:F112"/>
    <mergeCell ref="E118:F118"/>
    <mergeCell ref="C115:I115"/>
    <mergeCell ref="C116:I116"/>
    <mergeCell ref="C111:J111"/>
    <mergeCell ref="C114:H114"/>
    <mergeCell ref="C87:J87"/>
    <mergeCell ref="E80:F80"/>
    <mergeCell ref="E81:F81"/>
    <mergeCell ref="C82:H82"/>
    <mergeCell ref="C83:I83"/>
    <mergeCell ref="C84:I84"/>
    <mergeCell ref="C85:I85"/>
    <mergeCell ref="E88:F88"/>
    <mergeCell ref="C117:I117"/>
    <mergeCell ref="C107:I107"/>
    <mergeCell ref="C108:I108"/>
    <mergeCell ref="C109:I109"/>
    <mergeCell ref="C92:I92"/>
    <mergeCell ref="C93:I93"/>
    <mergeCell ref="C91:I91"/>
    <mergeCell ref="E94:F94"/>
    <mergeCell ref="E95:F95"/>
    <mergeCell ref="C96:H96"/>
    <mergeCell ref="C97:I97"/>
    <mergeCell ref="C98:I98"/>
    <mergeCell ref="C99:I99"/>
    <mergeCell ref="C100:I100"/>
    <mergeCell ref="E103:F103"/>
    <mergeCell ref="C101:J101"/>
    <mergeCell ref="E89:F89"/>
    <mergeCell ref="C90:H90"/>
    <mergeCell ref="C53:I53"/>
    <mergeCell ref="C54:I54"/>
    <mergeCell ref="E64:F64"/>
    <mergeCell ref="C65:H65"/>
    <mergeCell ref="C66:I66"/>
    <mergeCell ref="C67:I67"/>
    <mergeCell ref="C70:J70"/>
    <mergeCell ref="C68:I68"/>
    <mergeCell ref="C69:I69"/>
    <mergeCell ref="C77:I77"/>
    <mergeCell ref="E71:F71"/>
    <mergeCell ref="E72:F72"/>
    <mergeCell ref="E73:F73"/>
    <mergeCell ref="C74:H74"/>
    <mergeCell ref="C75:I75"/>
    <mergeCell ref="C76:I76"/>
    <mergeCell ref="C78:I78"/>
    <mergeCell ref="C79:J79"/>
    <mergeCell ref="E57:F57"/>
    <mergeCell ref="C61:I61"/>
    <mergeCell ref="C62:I62"/>
    <mergeCell ref="C86:I86"/>
    <mergeCell ref="C355:I355"/>
    <mergeCell ref="C217:H217"/>
    <mergeCell ref="E286:F286"/>
    <mergeCell ref="E287:F287"/>
    <mergeCell ref="C288:H288"/>
    <mergeCell ref="C319:H319"/>
    <mergeCell ref="C320:I320"/>
    <mergeCell ref="C321:I321"/>
    <mergeCell ref="C322:I322"/>
    <mergeCell ref="E338:F338"/>
    <mergeCell ref="E337:F337"/>
    <mergeCell ref="C339:H339"/>
    <mergeCell ref="C235:I235"/>
    <mergeCell ref="E249:F249"/>
    <mergeCell ref="E250:F250"/>
    <mergeCell ref="E251:F251"/>
    <mergeCell ref="C282:H282"/>
    <mergeCell ref="C239:H239"/>
    <mergeCell ref="C315:I315"/>
    <mergeCell ref="C255:I255"/>
    <mergeCell ref="C254:I254"/>
    <mergeCell ref="E318:F318"/>
    <mergeCell ref="E317:F317"/>
    <mergeCell ref="C297:H297"/>
    <mergeCell ref="C182:I182"/>
    <mergeCell ref="C170:I170"/>
    <mergeCell ref="C176:I176"/>
    <mergeCell ref="C177:I177"/>
    <mergeCell ref="E185:F185"/>
    <mergeCell ref="C147:I147"/>
    <mergeCell ref="C148:J148"/>
    <mergeCell ref="E164:F164"/>
    <mergeCell ref="E165:F165"/>
    <mergeCell ref="E166:F166"/>
    <mergeCell ref="C167:H167"/>
    <mergeCell ref="C163:J163"/>
    <mergeCell ref="E149:F149"/>
    <mergeCell ref="C168:I168"/>
    <mergeCell ref="C169:I169"/>
    <mergeCell ref="E178:F178"/>
    <mergeCell ref="E179:F179"/>
    <mergeCell ref="E180:F180"/>
    <mergeCell ref="E171:F171"/>
    <mergeCell ref="C128:I128"/>
    <mergeCell ref="C129:I129"/>
    <mergeCell ref="E126:F126"/>
    <mergeCell ref="C127:H127"/>
    <mergeCell ref="C130:I130"/>
    <mergeCell ref="E208:F208"/>
    <mergeCell ref="C356:I356"/>
    <mergeCell ref="E142:F142"/>
    <mergeCell ref="C143:H143"/>
    <mergeCell ref="C162:I162"/>
    <mergeCell ref="E156:F156"/>
    <mergeCell ref="C183:I183"/>
    <mergeCell ref="C184:I184"/>
    <mergeCell ref="C192:I192"/>
    <mergeCell ref="C206:I206"/>
    <mergeCell ref="C207:I207"/>
    <mergeCell ref="E236:F236"/>
    <mergeCell ref="E237:F237"/>
    <mergeCell ref="E238:F238"/>
    <mergeCell ref="C135:H135"/>
    <mergeCell ref="C181:H181"/>
    <mergeCell ref="E214:F214"/>
    <mergeCell ref="E215:F215"/>
    <mergeCell ref="E216:F216"/>
    <mergeCell ref="E140:F140"/>
    <mergeCell ref="E150:F150"/>
    <mergeCell ref="C151:H151"/>
    <mergeCell ref="C152:I152"/>
    <mergeCell ref="C153:I153"/>
    <mergeCell ref="C154:I154"/>
    <mergeCell ref="E141:F141"/>
    <mergeCell ref="C157:H157"/>
    <mergeCell ref="E155:F155"/>
    <mergeCell ref="K4:L4"/>
    <mergeCell ref="E8:F8"/>
    <mergeCell ref="E9:F9"/>
    <mergeCell ref="E10:F10"/>
    <mergeCell ref="C11:H11"/>
    <mergeCell ref="C12:I12"/>
    <mergeCell ref="C13:I13"/>
    <mergeCell ref="C14:I14"/>
    <mergeCell ref="C1:J2"/>
    <mergeCell ref="E3:F4"/>
    <mergeCell ref="I3:I4"/>
    <mergeCell ref="G3:G4"/>
    <mergeCell ref="H3:H4"/>
    <mergeCell ref="C3:C4"/>
    <mergeCell ref="C5:J5"/>
    <mergeCell ref="J3:J4"/>
    <mergeCell ref="C6:J6"/>
    <mergeCell ref="D3:D4"/>
    <mergeCell ref="C19:I19"/>
    <mergeCell ref="C20:I20"/>
    <mergeCell ref="C21:I21"/>
    <mergeCell ref="C25:I25"/>
    <mergeCell ref="C26:I26"/>
    <mergeCell ref="C27:I27"/>
    <mergeCell ref="C51:I51"/>
    <mergeCell ref="C60:I60"/>
    <mergeCell ref="C18:H18"/>
    <mergeCell ref="E37:F37"/>
    <mergeCell ref="E39:F39"/>
    <mergeCell ref="C174:H174"/>
    <mergeCell ref="C175:I175"/>
    <mergeCell ref="C146:I146"/>
    <mergeCell ref="M4:N4"/>
    <mergeCell ref="C46:J46"/>
    <mergeCell ref="E22:F22"/>
    <mergeCell ref="E23:F23"/>
    <mergeCell ref="C45:I45"/>
    <mergeCell ref="C24:H24"/>
    <mergeCell ref="C34:I34"/>
    <mergeCell ref="C35:J35"/>
    <mergeCell ref="C36:J36"/>
    <mergeCell ref="C44:I44"/>
    <mergeCell ref="E28:F28"/>
    <mergeCell ref="E29:F29"/>
    <mergeCell ref="C30:H30"/>
    <mergeCell ref="C31:I31"/>
    <mergeCell ref="C32:I32"/>
    <mergeCell ref="C33:I33"/>
    <mergeCell ref="C7:J7"/>
    <mergeCell ref="E16:F16"/>
    <mergeCell ref="E15:F15"/>
    <mergeCell ref="E17:F17"/>
    <mergeCell ref="C40:H40"/>
    <mergeCell ref="E125:F125"/>
    <mergeCell ref="C124:I124"/>
    <mergeCell ref="C348:I348"/>
    <mergeCell ref="E350:F350"/>
    <mergeCell ref="E349:F349"/>
    <mergeCell ref="C351:H351"/>
    <mergeCell ref="C352:I352"/>
    <mergeCell ref="C353:I353"/>
    <mergeCell ref="C354:I354"/>
    <mergeCell ref="C340:I340"/>
    <mergeCell ref="C341:I341"/>
    <mergeCell ref="C342:I342"/>
    <mergeCell ref="E344:F344"/>
    <mergeCell ref="C345:H345"/>
    <mergeCell ref="C346:I346"/>
    <mergeCell ref="C347:I347"/>
    <mergeCell ref="C136:I136"/>
    <mergeCell ref="C137:I137"/>
    <mergeCell ref="C138:I138"/>
    <mergeCell ref="E139:F139"/>
    <mergeCell ref="E281:F281"/>
    <mergeCell ref="E279:F279"/>
    <mergeCell ref="E172:F172"/>
    <mergeCell ref="E173:F173"/>
    <mergeCell ref="E363:F363"/>
    <mergeCell ref="E364:F364"/>
    <mergeCell ref="C365:I365"/>
    <mergeCell ref="C366:I366"/>
    <mergeCell ref="C367:I367"/>
    <mergeCell ref="C368:I368"/>
    <mergeCell ref="C369:I369"/>
    <mergeCell ref="C357:N357"/>
    <mergeCell ref="C358:J358"/>
    <mergeCell ref="E361:F361"/>
    <mergeCell ref="E359:F359"/>
    <mergeCell ref="E360:F360"/>
    <mergeCell ref="E362:F362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B6" sqref="B6:C6"/>
    </sheetView>
  </sheetViews>
  <sheetFormatPr defaultRowHeight="14.5" x14ac:dyDescent="0.35"/>
  <cols>
    <col min="2" max="2" width="36.54296875" customWidth="1"/>
    <col min="4" max="4" width="13.54296875" customWidth="1"/>
    <col min="5" max="5" width="9.1796875" customWidth="1"/>
  </cols>
  <sheetData>
    <row r="1" spans="1:9" x14ac:dyDescent="0.35">
      <c r="H1" s="158" t="s">
        <v>39</v>
      </c>
      <c r="I1" s="158"/>
    </row>
    <row r="2" spans="1:9" x14ac:dyDescent="0.35">
      <c r="H2" s="14" t="s">
        <v>40</v>
      </c>
      <c r="I2" s="14" t="s">
        <v>41</v>
      </c>
    </row>
    <row r="3" spans="1:9" ht="44.25" customHeight="1" x14ac:dyDescent="0.35">
      <c r="A3" s="7">
        <f>1+A2</f>
        <v>1</v>
      </c>
      <c r="B3" s="156" t="s">
        <v>35</v>
      </c>
      <c r="C3" s="157"/>
      <c r="D3" s="9" t="s">
        <v>4</v>
      </c>
      <c r="E3" s="8">
        <v>55</v>
      </c>
      <c r="F3" s="13">
        <v>120</v>
      </c>
      <c r="G3" s="6">
        <f>F3*E3</f>
        <v>6600</v>
      </c>
      <c r="H3" s="14"/>
      <c r="I3" s="15">
        <f>G3</f>
        <v>6600</v>
      </c>
    </row>
    <row r="4" spans="1:9" ht="30" customHeight="1" x14ac:dyDescent="0.35">
      <c r="A4" s="7">
        <f>1+A3</f>
        <v>2</v>
      </c>
      <c r="B4" s="156" t="s">
        <v>36</v>
      </c>
      <c r="C4" s="157"/>
      <c r="D4" s="10" t="s">
        <v>32</v>
      </c>
      <c r="E4" s="8">
        <v>1</v>
      </c>
      <c r="F4" s="13">
        <v>4000</v>
      </c>
      <c r="G4" s="6">
        <f>F4*E4</f>
        <v>4000</v>
      </c>
      <c r="H4" s="14"/>
      <c r="I4" s="15">
        <f>G4</f>
        <v>4000</v>
      </c>
    </row>
    <row r="5" spans="1:9" ht="29.25" customHeight="1" x14ac:dyDescent="0.35">
      <c r="A5" s="7">
        <f>1+A4</f>
        <v>3</v>
      </c>
      <c r="B5" s="156" t="s">
        <v>38</v>
      </c>
      <c r="C5" s="157"/>
      <c r="D5" s="10" t="s">
        <v>32</v>
      </c>
      <c r="E5" s="11">
        <v>1</v>
      </c>
      <c r="F5" s="13">
        <v>6500</v>
      </c>
      <c r="G5" s="6">
        <f>F5*E5</f>
        <v>6500</v>
      </c>
      <c r="H5" s="15">
        <f>F5</f>
        <v>6500</v>
      </c>
      <c r="I5" s="15"/>
    </row>
    <row r="6" spans="1:9" ht="45" customHeight="1" x14ac:dyDescent="0.35">
      <c r="A6" s="7">
        <f>1+A5</f>
        <v>4</v>
      </c>
      <c r="B6" s="156" t="s">
        <v>37</v>
      </c>
      <c r="C6" s="157"/>
      <c r="D6" s="12" t="s">
        <v>4</v>
      </c>
      <c r="E6" s="11">
        <v>220</v>
      </c>
      <c r="F6" s="13">
        <v>70</v>
      </c>
      <c r="G6" s="6">
        <f>F6*E6</f>
        <v>15400</v>
      </c>
      <c r="H6" s="14"/>
      <c r="I6" s="15">
        <f>G6</f>
        <v>15400</v>
      </c>
    </row>
    <row r="7" spans="1:9" x14ac:dyDescent="0.35">
      <c r="G7" s="15">
        <f>SUM(G3:G6)</f>
        <v>32500</v>
      </c>
      <c r="H7" s="15">
        <f>SUM(H3:H6)</f>
        <v>6500</v>
      </c>
      <c r="I7" s="15">
        <f>SUM(I3:I6)</f>
        <v>26000</v>
      </c>
    </row>
  </sheetData>
  <mergeCells count="5">
    <mergeCell ref="B3:C3"/>
    <mergeCell ref="B4:C4"/>
    <mergeCell ref="B5:C5"/>
    <mergeCell ref="B6:C6"/>
    <mergeCell ref="H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49"/>
  <sheetViews>
    <sheetView topLeftCell="A4" workbookViewId="0">
      <selection activeCell="C20" sqref="C20"/>
    </sheetView>
  </sheetViews>
  <sheetFormatPr defaultRowHeight="14.5" x14ac:dyDescent="0.35"/>
  <cols>
    <col min="5" max="5" width="10.453125" customWidth="1"/>
    <col min="6" max="6" width="12.54296875" customWidth="1"/>
    <col min="7" max="7" width="16.7265625" customWidth="1"/>
    <col min="8" max="8" width="11.453125" customWidth="1"/>
    <col min="9" max="9" width="16.26953125" customWidth="1"/>
    <col min="11" max="11" width="11.7265625" customWidth="1"/>
    <col min="12" max="12" width="10.81640625" customWidth="1"/>
    <col min="13" max="13" width="12.453125" customWidth="1"/>
  </cols>
  <sheetData>
    <row r="5" spans="1:16" x14ac:dyDescent="0.35">
      <c r="F5" s="161" t="s">
        <v>30</v>
      </c>
      <c r="G5" s="161"/>
      <c r="H5" s="161"/>
      <c r="L5" s="161" t="s">
        <v>28</v>
      </c>
      <c r="M5" s="161"/>
      <c r="N5" s="161"/>
      <c r="O5" s="161"/>
      <c r="P5" s="161"/>
    </row>
    <row r="6" spans="1:16" ht="29" x14ac:dyDescent="0.35">
      <c r="F6" s="3" t="s">
        <v>9</v>
      </c>
      <c r="G6" t="s">
        <v>10</v>
      </c>
      <c r="H6" s="3" t="s">
        <v>14</v>
      </c>
      <c r="K6" s="3" t="s">
        <v>9</v>
      </c>
      <c r="L6" s="3" t="s">
        <v>10</v>
      </c>
      <c r="M6" s="3" t="s">
        <v>14</v>
      </c>
    </row>
    <row r="7" spans="1:16" x14ac:dyDescent="0.35">
      <c r="F7" s="159" t="s">
        <v>7</v>
      </c>
      <c r="G7" s="160"/>
      <c r="H7" s="160"/>
      <c r="I7" s="160"/>
      <c r="J7" s="160"/>
      <c r="K7" s="160"/>
      <c r="L7" s="160"/>
      <c r="M7" s="160"/>
      <c r="N7" s="160"/>
      <c r="O7" s="160"/>
    </row>
    <row r="8" spans="1:16" x14ac:dyDescent="0.35">
      <c r="C8">
        <f>C9/1.1</f>
        <v>1866.8831168831166</v>
      </c>
      <c r="E8" t="s">
        <v>8</v>
      </c>
      <c r="F8" s="1">
        <f>C8/15.6466</f>
        <v>119.31557762600927</v>
      </c>
      <c r="J8" t="s">
        <v>13</v>
      </c>
    </row>
    <row r="9" spans="1:16" x14ac:dyDescent="0.35">
      <c r="C9" s="4">
        <v>2053.5714285714284</v>
      </c>
      <c r="E9" t="s">
        <v>11</v>
      </c>
      <c r="F9" s="1">
        <f>C9/15.6466</f>
        <v>131.24713538861022</v>
      </c>
      <c r="G9">
        <v>40</v>
      </c>
      <c r="H9" s="2">
        <f>F9*G9</f>
        <v>5249.8854155444087</v>
      </c>
      <c r="J9" t="s">
        <v>15</v>
      </c>
      <c r="K9" s="1">
        <f>A10/15.6466</f>
        <v>168.3387171288696</v>
      </c>
    </row>
    <row r="10" spans="1:16" x14ac:dyDescent="0.35">
      <c r="A10" s="4">
        <v>2633.9285714285711</v>
      </c>
      <c r="C10" s="4">
        <v>2142.8571428571427</v>
      </c>
      <c r="E10" t="s">
        <v>12</v>
      </c>
      <c r="F10" s="1">
        <f>C10/15.6466</f>
        <v>136.95353257941935</v>
      </c>
      <c r="G10">
        <v>995</v>
      </c>
      <c r="H10" s="2">
        <f>F10*G10</f>
        <v>136268.76491652225</v>
      </c>
      <c r="J10" t="s">
        <v>25</v>
      </c>
      <c r="K10" s="1">
        <f>A11/15.6466</f>
        <v>176.89831291508332</v>
      </c>
      <c r="L10">
        <v>220</v>
      </c>
      <c r="M10" s="2">
        <f>K10*L10</f>
        <v>38917.628841318328</v>
      </c>
    </row>
    <row r="11" spans="1:16" x14ac:dyDescent="0.35">
      <c r="A11" s="4">
        <v>2767.8571428571427</v>
      </c>
      <c r="C11" s="4">
        <v>2232.1428571428569</v>
      </c>
      <c r="E11" t="s">
        <v>22</v>
      </c>
      <c r="F11" s="1">
        <f>C11/15.6466</f>
        <v>142.65992977022847</v>
      </c>
      <c r="G11">
        <v>1485</v>
      </c>
      <c r="H11" s="2">
        <f>F11*G11</f>
        <v>211849.99570878927</v>
      </c>
      <c r="K11" s="1"/>
      <c r="L11" t="s">
        <v>6</v>
      </c>
    </row>
    <row r="12" spans="1:16" x14ac:dyDescent="0.35">
      <c r="A12" s="4"/>
      <c r="C12" s="4"/>
      <c r="F12" s="1"/>
      <c r="G12" t="s">
        <v>6</v>
      </c>
      <c r="H12" s="2">
        <f>SUM(H9:H11)</f>
        <v>353368.64604085591</v>
      </c>
      <c r="J12" t="s">
        <v>26</v>
      </c>
      <c r="K12" s="1">
        <f>A11/15.6466</f>
        <v>176.89831291508332</v>
      </c>
      <c r="L12">
        <v>415</v>
      </c>
      <c r="M12" s="2">
        <f>K12*L12</f>
        <v>73412.799859759572</v>
      </c>
    </row>
    <row r="13" spans="1:16" x14ac:dyDescent="0.35">
      <c r="A13" s="4"/>
      <c r="C13" s="4">
        <v>2232.1428571428569</v>
      </c>
      <c r="E13" t="s">
        <v>23</v>
      </c>
      <c r="F13" s="1">
        <f>C13/15.6466</f>
        <v>142.65992977022847</v>
      </c>
      <c r="G13">
        <v>245</v>
      </c>
      <c r="H13" s="2">
        <f>F13*G13</f>
        <v>34951.682793705979</v>
      </c>
      <c r="L13" t="s">
        <v>6</v>
      </c>
    </row>
    <row r="14" spans="1:16" x14ac:dyDescent="0.35">
      <c r="C14" s="4"/>
      <c r="G14" t="s">
        <v>6</v>
      </c>
      <c r="H14" s="2">
        <f>SUM(H13)</f>
        <v>34951.682793705979</v>
      </c>
      <c r="L14" t="s">
        <v>24</v>
      </c>
    </row>
    <row r="15" spans="1:16" x14ac:dyDescent="0.35">
      <c r="C15" s="4"/>
      <c r="G15" t="s">
        <v>24</v>
      </c>
      <c r="H15" s="2">
        <f>+H12+H14</f>
        <v>388320.32883456186</v>
      </c>
    </row>
    <row r="16" spans="1:16" x14ac:dyDescent="0.35">
      <c r="C16" s="4"/>
    </row>
    <row r="17" spans="3:15" x14ac:dyDescent="0.35">
      <c r="C17" s="4"/>
    </row>
    <row r="18" spans="3:15" ht="29" x14ac:dyDescent="0.35">
      <c r="C18" s="4"/>
      <c r="G18" s="3" t="s">
        <v>18</v>
      </c>
    </row>
    <row r="19" spans="3:15" ht="45.75" customHeight="1" x14ac:dyDescent="0.35">
      <c r="G19" s="3" t="s">
        <v>17</v>
      </c>
    </row>
    <row r="20" spans="3:15" ht="43.5" x14ac:dyDescent="0.35">
      <c r="F20" s="4"/>
      <c r="G20" s="3" t="s">
        <v>19</v>
      </c>
    </row>
    <row r="21" spans="3:15" x14ac:dyDescent="0.35">
      <c r="F21" s="159" t="s">
        <v>20</v>
      </c>
      <c r="G21" s="160"/>
      <c r="H21" s="160"/>
      <c r="I21" s="160"/>
      <c r="J21" s="160"/>
      <c r="K21" s="160"/>
      <c r="L21" s="160"/>
      <c r="M21" s="160"/>
      <c r="N21" s="160"/>
      <c r="O21" s="160"/>
    </row>
    <row r="22" spans="3:15" x14ac:dyDescent="0.35">
      <c r="C22">
        <f>C23/1.1</f>
        <v>1866.8831168831166</v>
      </c>
      <c r="E22" t="s">
        <v>8</v>
      </c>
      <c r="F22" s="1">
        <f>C22/15.6466</f>
        <v>119.31557762600927</v>
      </c>
      <c r="J22" t="s">
        <v>13</v>
      </c>
      <c r="K22" s="1">
        <v>142.66</v>
      </c>
      <c r="L22">
        <v>1030</v>
      </c>
      <c r="M22">
        <f>L22*K22</f>
        <v>146939.79999999999</v>
      </c>
    </row>
    <row r="23" spans="3:15" x14ac:dyDescent="0.35">
      <c r="C23" s="4">
        <v>2053.5714285714284</v>
      </c>
      <c r="E23" t="s">
        <v>11</v>
      </c>
      <c r="F23" s="1">
        <f>C23/15.6466</f>
        <v>131.24713538861022</v>
      </c>
      <c r="G23">
        <v>765</v>
      </c>
      <c r="H23" s="2">
        <f>G23*F23</f>
        <v>100404.05857228681</v>
      </c>
      <c r="J23" t="s">
        <v>15</v>
      </c>
      <c r="K23" s="1">
        <v>168.34</v>
      </c>
      <c r="L23">
        <v>1925</v>
      </c>
      <c r="M23">
        <f>L23*K23</f>
        <v>324054.5</v>
      </c>
    </row>
    <row r="24" spans="3:15" x14ac:dyDescent="0.35">
      <c r="C24" s="4">
        <v>2142.8571428571427</v>
      </c>
      <c r="E24" t="s">
        <v>12</v>
      </c>
      <c r="F24" s="1">
        <f>C24/15.6466</f>
        <v>136.95353257941935</v>
      </c>
      <c r="H24" s="2">
        <f>G24*F24</f>
        <v>0</v>
      </c>
      <c r="J24" t="s">
        <v>16</v>
      </c>
      <c r="K24" s="1">
        <v>176.9</v>
      </c>
      <c r="L24">
        <v>3080</v>
      </c>
      <c r="M24" s="2">
        <f>L24*K24</f>
        <v>544852</v>
      </c>
    </row>
    <row r="25" spans="3:15" x14ac:dyDescent="0.35">
      <c r="C25" s="4">
        <v>2232.1428571428569</v>
      </c>
      <c r="E25" t="s">
        <v>13</v>
      </c>
      <c r="F25" s="1">
        <f>C25/15.6466</f>
        <v>142.65992977022847</v>
      </c>
      <c r="G25">
        <v>425</v>
      </c>
      <c r="H25" s="2">
        <f>G25*F25</f>
        <v>60630.470152347101</v>
      </c>
      <c r="K25" s="5" t="s">
        <v>29</v>
      </c>
      <c r="L25" s="5">
        <f>SUM(L23:L24)</f>
        <v>5005</v>
      </c>
      <c r="M25">
        <f>SUM(M23:M24)</f>
        <v>868906.5</v>
      </c>
    </row>
    <row r="26" spans="3:15" x14ac:dyDescent="0.35">
      <c r="C26" s="4"/>
      <c r="F26" s="1"/>
      <c r="G26">
        <f>SUM(G23:G25)</f>
        <v>1190</v>
      </c>
      <c r="H26" s="2">
        <f>SUM(H23:H25)</f>
        <v>161034.52872463391</v>
      </c>
      <c r="L26" s="5"/>
    </row>
    <row r="27" spans="3:15" x14ac:dyDescent="0.35">
      <c r="C27" s="4">
        <v>2232.1428571428569</v>
      </c>
      <c r="E27" t="s">
        <v>27</v>
      </c>
    </row>
    <row r="28" spans="3:15" x14ac:dyDescent="0.35">
      <c r="C28" s="4">
        <v>2142.8571428571427</v>
      </c>
      <c r="E28" t="s">
        <v>8</v>
      </c>
      <c r="F28" s="1">
        <f>F22*0.7</f>
        <v>83.520904338206492</v>
      </c>
    </row>
    <row r="29" spans="3:15" x14ac:dyDescent="0.35">
      <c r="C29" s="4">
        <v>2232.1428571428569</v>
      </c>
      <c r="E29" t="s">
        <v>11</v>
      </c>
      <c r="F29" s="1">
        <f>F23*0.7</f>
        <v>91.872994772027141</v>
      </c>
      <c r="G29">
        <v>335</v>
      </c>
      <c r="H29" s="2">
        <f>G29*F29</f>
        <v>30777.453248629092</v>
      </c>
    </row>
    <row r="30" spans="3:15" x14ac:dyDescent="0.35">
      <c r="C30" s="4">
        <v>2321.4285714285711</v>
      </c>
      <c r="E30" t="s">
        <v>12</v>
      </c>
      <c r="F30" s="1">
        <f>F24*0.7</f>
        <v>95.867472805593536</v>
      </c>
      <c r="G30">
        <v>155</v>
      </c>
      <c r="H30" s="2">
        <f>G30*F30</f>
        <v>14859.458284866998</v>
      </c>
    </row>
    <row r="31" spans="3:15" x14ac:dyDescent="0.35">
      <c r="C31" s="4">
        <v>2321.4285714285711</v>
      </c>
      <c r="E31" t="s">
        <v>13</v>
      </c>
      <c r="F31" s="1">
        <f>F25*0.7</f>
        <v>99.861950839159931</v>
      </c>
      <c r="G31" s="3">
        <v>640</v>
      </c>
      <c r="H31" s="2">
        <f>G31*F31</f>
        <v>63911.648537062356</v>
      </c>
    </row>
    <row r="32" spans="3:15" x14ac:dyDescent="0.35">
      <c r="F32" t="s">
        <v>6</v>
      </c>
      <c r="G32">
        <f>SUM(G29:G31)</f>
        <v>1130</v>
      </c>
      <c r="H32" s="2">
        <f>SUM(H29:H31)</f>
        <v>109548.56007055845</v>
      </c>
    </row>
    <row r="33" spans="5:15" ht="29" x14ac:dyDescent="0.35">
      <c r="F33" s="4"/>
      <c r="G33" s="3" t="s">
        <v>18</v>
      </c>
    </row>
    <row r="34" spans="5:15" ht="43.5" x14ac:dyDescent="0.35">
      <c r="G34" s="3" t="s">
        <v>17</v>
      </c>
    </row>
    <row r="35" spans="5:15" ht="43.5" x14ac:dyDescent="0.35">
      <c r="G35" s="3" t="s">
        <v>21</v>
      </c>
    </row>
    <row r="36" spans="5:15" x14ac:dyDescent="0.35">
      <c r="G36" s="3" t="s">
        <v>24</v>
      </c>
    </row>
    <row r="37" spans="5:15" x14ac:dyDescent="0.35">
      <c r="F37" s="159" t="s">
        <v>20</v>
      </c>
      <c r="G37" s="160"/>
      <c r="H37" s="160"/>
      <c r="I37" s="160"/>
      <c r="J37" s="160"/>
      <c r="K37" s="160"/>
      <c r="L37" s="160"/>
      <c r="M37" s="160"/>
      <c r="N37" s="160"/>
      <c r="O37" s="160"/>
    </row>
    <row r="39" spans="5:15" x14ac:dyDescent="0.35">
      <c r="E39" t="s">
        <v>8</v>
      </c>
      <c r="F39" s="1">
        <v>119.32</v>
      </c>
      <c r="G39">
        <v>170</v>
      </c>
      <c r="H39">
        <f>F39*G39</f>
        <v>20284.399999999998</v>
      </c>
    </row>
    <row r="40" spans="5:15" x14ac:dyDescent="0.35">
      <c r="E40" t="s">
        <v>11</v>
      </c>
      <c r="F40" s="1">
        <v>131.25</v>
      </c>
      <c r="H40">
        <f>F40*G40</f>
        <v>0</v>
      </c>
      <c r="J40" t="s">
        <v>15</v>
      </c>
      <c r="K40" s="1">
        <v>168.34</v>
      </c>
    </row>
    <row r="41" spans="5:15" x14ac:dyDescent="0.35">
      <c r="E41" t="s">
        <v>12</v>
      </c>
      <c r="F41" s="1">
        <v>136.94999999999999</v>
      </c>
      <c r="G41">
        <v>465</v>
      </c>
      <c r="H41">
        <f>F41*G41</f>
        <v>63681.749999999993</v>
      </c>
      <c r="J41" t="s">
        <v>16</v>
      </c>
      <c r="K41" s="1">
        <v>176.9</v>
      </c>
      <c r="L41">
        <v>220</v>
      </c>
      <c r="M41">
        <f>L41*K41</f>
        <v>38918</v>
      </c>
    </row>
    <row r="42" spans="5:15" x14ac:dyDescent="0.35">
      <c r="E42" t="s">
        <v>13</v>
      </c>
      <c r="F42" s="1">
        <v>142.66</v>
      </c>
      <c r="G42">
        <v>3555</v>
      </c>
      <c r="H42">
        <f>F42*G42</f>
        <v>507156.3</v>
      </c>
      <c r="L42" t="s">
        <v>6</v>
      </c>
      <c r="M42">
        <f>SUM(M40:M41)</f>
        <v>38918</v>
      </c>
    </row>
    <row r="43" spans="5:15" x14ac:dyDescent="0.35">
      <c r="F43" t="s">
        <v>6</v>
      </c>
      <c r="G43">
        <f>SUM(G39:G42)</f>
        <v>4190</v>
      </c>
      <c r="H43" s="2">
        <f>SUM(H39:H42)</f>
        <v>591122.44999999995</v>
      </c>
    </row>
    <row r="47" spans="5:15" ht="29" x14ac:dyDescent="0.35">
      <c r="G47" s="3" t="s">
        <v>18</v>
      </c>
    </row>
    <row r="48" spans="5:15" ht="43.5" x14ac:dyDescent="0.35">
      <c r="G48" s="3" t="s">
        <v>17</v>
      </c>
    </row>
    <row r="49" spans="6:7" ht="43.5" x14ac:dyDescent="0.35">
      <c r="F49" s="4"/>
      <c r="G49" s="3" t="s">
        <v>21</v>
      </c>
    </row>
  </sheetData>
  <mergeCells count="5">
    <mergeCell ref="F37:O37"/>
    <mergeCell ref="F5:H5"/>
    <mergeCell ref="L5:P5"/>
    <mergeCell ref="F7:O7"/>
    <mergeCell ref="F21:O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Otsmaa</dc:creator>
  <cp:lastModifiedBy>Lüganuse Vallavalitsus</cp:lastModifiedBy>
  <cp:lastPrinted>2024-02-20T11:36:33Z</cp:lastPrinted>
  <dcterms:created xsi:type="dcterms:W3CDTF">2011-06-18T20:22:51Z</dcterms:created>
  <dcterms:modified xsi:type="dcterms:W3CDTF">2026-06-18T16:29:37Z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2020-11-13T12:16:37Z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29bdb94e-2dba-4998-a75a-0000253ca692</vt:lpwstr>
  </property>
  <property fmtid="{D5CDD505-2E9C-101B-9397-08002B2CF9AE}" pid="8" name="MSIP_Label_43f08ec5-d6d9-4227-8387-ccbfcb3632c4_ContentBits">
    <vt:lpwstr>0</vt:lpwstr>
  </property>
</Properties>
</file>